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4\05\03\"/>
    </mc:Choice>
  </mc:AlternateContent>
  <xr:revisionPtr revIDLastSave="0" documentId="13_ncr:1_{1404DC11-E97D-4D29-8C12-84CEBF32336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/>
  <customWorkbookViews>
    <customWorkbookView name="BLPUSP2 - Личное представление" guid="{EFA3296C-EA11-4228-A03B-6841E5AF5251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4" i="4" l="1"/>
  <c r="AC50" i="4"/>
  <c r="AC45" i="4"/>
  <c r="AC38" i="4"/>
  <c r="AC37" i="4" s="1"/>
  <c r="AC31" i="4"/>
  <c r="AC29" i="4"/>
  <c r="AC27" i="4"/>
  <c r="AC23" i="4" s="1"/>
  <c r="AC22" i="4" s="1"/>
  <c r="AC24" i="4"/>
  <c r="AC17" i="4"/>
  <c r="AC9" i="4"/>
  <c r="AB28" i="4"/>
  <c r="AB26" i="4"/>
  <c r="V28" i="4"/>
  <c r="V26" i="4"/>
  <c r="V18" i="4"/>
  <c r="AC7" i="4" l="1"/>
  <c r="AC8" i="4" s="1"/>
  <c r="AF51" i="4"/>
  <c r="AB54" i="4"/>
  <c r="AA54" i="4"/>
  <c r="Z54" i="4"/>
  <c r="X54" i="4"/>
  <c r="W54" i="4"/>
  <c r="V54" i="4"/>
  <c r="U54" i="4"/>
  <c r="AD54" i="4"/>
  <c r="AF10" i="4" l="1"/>
  <c r="AF15" i="4" l="1"/>
  <c r="AF40" i="4"/>
  <c r="AF26" i="4"/>
  <c r="AO26" i="4" s="1"/>
  <c r="AF32" i="4"/>
  <c r="AF36" i="4"/>
  <c r="AF25" i="4"/>
  <c r="AO25" i="4" s="1"/>
  <c r="AF11" i="4"/>
  <c r="AF12" i="4"/>
  <c r="AF13" i="4"/>
  <c r="AF14" i="4"/>
  <c r="AF16" i="4"/>
  <c r="AF18" i="4"/>
  <c r="AF19" i="4"/>
  <c r="AF20" i="4"/>
  <c r="AF28" i="4"/>
  <c r="AF34" i="4"/>
  <c r="AF39" i="4"/>
  <c r="AF41" i="4"/>
  <c r="AF44" i="4"/>
  <c r="AK14" i="4" l="1"/>
  <c r="AO14" i="4"/>
  <c r="AD50" i="4"/>
  <c r="AD45" i="4"/>
  <c r="AD38" i="4"/>
  <c r="AD37" i="4" s="1"/>
  <c r="AD31" i="4"/>
  <c r="AD29" i="4"/>
  <c r="AD27" i="4"/>
  <c r="AD24" i="4"/>
  <c r="AD17" i="4"/>
  <c r="AD9" i="4" s="1"/>
  <c r="AD23" i="4" l="1"/>
  <c r="AD22" i="4" s="1"/>
  <c r="AD7" i="4" s="1"/>
  <c r="AD8" i="4" s="1"/>
  <c r="AG34" i="4" l="1"/>
  <c r="AG33" i="4"/>
  <c r="AG32" i="4"/>
  <c r="Y10" i="4"/>
  <c r="Y60" i="4"/>
  <c r="Y18" i="4"/>
  <c r="Y20" i="4"/>
  <c r="Y19" i="4"/>
  <c r="AQ19" i="4" s="1"/>
  <c r="Y16" i="4"/>
  <c r="AQ16" i="4" s="1"/>
  <c r="Y15" i="4"/>
  <c r="AQ15" i="4" s="1"/>
  <c r="Y14" i="4"/>
  <c r="AQ14" i="4" s="1"/>
  <c r="Y13" i="4"/>
  <c r="Y12" i="4"/>
  <c r="Y11" i="4"/>
  <c r="AP13" i="4" l="1"/>
  <c r="AQ13" i="4"/>
  <c r="AP12" i="4"/>
  <c r="AQ12" i="4"/>
  <c r="AA28" i="4"/>
  <c r="AA26" i="4"/>
  <c r="U10" i="4" l="1"/>
  <c r="T50" i="4"/>
  <c r="S50" i="4"/>
  <c r="T9" i="4"/>
  <c r="T17" i="4"/>
  <c r="T24" i="4"/>
  <c r="T23" i="4" s="1"/>
  <c r="T27" i="4"/>
  <c r="T29" i="4"/>
  <c r="T31" i="4"/>
  <c r="T38" i="4"/>
  <c r="T37" i="4" s="1"/>
  <c r="T45" i="4"/>
  <c r="T54" i="4"/>
  <c r="S54" i="4"/>
  <c r="S45" i="4"/>
  <c r="S42" i="4"/>
  <c r="S40" i="4"/>
  <c r="S38" i="4"/>
  <c r="S37" i="4" s="1"/>
  <c r="S31" i="4"/>
  <c r="S29" i="4"/>
  <c r="S28" i="4"/>
  <c r="S27" i="4" s="1"/>
  <c r="S26" i="4"/>
  <c r="S24" i="4" s="1"/>
  <c r="S23" i="4" s="1"/>
  <c r="S25" i="4"/>
  <c r="S19" i="4"/>
  <c r="S18" i="4"/>
  <c r="S17" i="4"/>
  <c r="S9" i="4" s="1"/>
  <c r="S22" i="4" l="1"/>
  <c r="T22" i="4"/>
  <c r="T7" i="4" s="1"/>
  <c r="T8" i="4" s="1"/>
  <c r="S7" i="4"/>
  <c r="S8" i="4" s="1"/>
  <c r="AG52" i="4" l="1"/>
  <c r="AG53" i="4"/>
  <c r="AF52" i="4"/>
  <c r="AF35" i="4"/>
  <c r="AF33" i="4"/>
  <c r="Y52" i="4"/>
  <c r="Y53" i="4"/>
  <c r="Y51" i="4"/>
  <c r="AQ51" i="4" s="1"/>
  <c r="V50" i="4"/>
  <c r="W50" i="4"/>
  <c r="X50" i="4"/>
  <c r="U52" i="4"/>
  <c r="U53" i="4"/>
  <c r="U51" i="4"/>
  <c r="U50" i="4" s="1"/>
  <c r="Y33" i="4"/>
  <c r="Y34" i="4"/>
  <c r="Y35" i="4"/>
  <c r="Y32" i="4"/>
  <c r="Z31" i="4"/>
  <c r="AA31" i="4"/>
  <c r="AB31" i="4"/>
  <c r="V31" i="4"/>
  <c r="W31" i="4"/>
  <c r="X31" i="4"/>
  <c r="U34" i="4"/>
  <c r="U35" i="4"/>
  <c r="U33" i="4"/>
  <c r="U32" i="4"/>
  <c r="AQ35" i="4" l="1"/>
  <c r="AQ33" i="4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9" i="4"/>
  <c r="AF48" i="4"/>
  <c r="AF46" i="4"/>
  <c r="AF47" i="4"/>
  <c r="AO47" i="4" s="1"/>
  <c r="X17" i="4" l="1"/>
  <c r="V24" i="4" l="1"/>
  <c r="AE63" i="4"/>
  <c r="Y42" i="4"/>
  <c r="Y41" i="4"/>
  <c r="AQ41" i="4" s="1"/>
  <c r="AA24" i="4"/>
  <c r="AB24" i="4"/>
  <c r="X9" i="4" l="1"/>
  <c r="AB38" i="4"/>
  <c r="AB37" i="4" s="1"/>
  <c r="AM63" i="4"/>
  <c r="Q63" i="4"/>
  <c r="AM62" i="4"/>
  <c r="AG62" i="4"/>
  <c r="AF62" i="4"/>
  <c r="Y62" i="4"/>
  <c r="AQ62" i="4" s="1"/>
  <c r="U62" i="4"/>
  <c r="R62" i="4"/>
  <c r="P62" i="4"/>
  <c r="M62" i="4"/>
  <c r="K62" i="4"/>
  <c r="AM61" i="4"/>
  <c r="AG61" i="4"/>
  <c r="AF61" i="4"/>
  <c r="AQ61" i="4" s="1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Y59" i="4"/>
  <c r="AQ59" i="4" s="1"/>
  <c r="U59" i="4"/>
  <c r="R59" i="4"/>
  <c r="P59" i="4"/>
  <c r="K59" i="4"/>
  <c r="AT58" i="4"/>
  <c r="AM58" i="4"/>
  <c r="AG58" i="4"/>
  <c r="AF58" i="4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Y56" i="4"/>
  <c r="U56" i="4"/>
  <c r="R56" i="4"/>
  <c r="P56" i="4"/>
  <c r="M56" i="4"/>
  <c r="K56" i="4"/>
  <c r="AM55" i="4"/>
  <c r="AG55" i="4"/>
  <c r="AF55" i="4"/>
  <c r="Y55" i="4"/>
  <c r="U55" i="4"/>
  <c r="R55" i="4"/>
  <c r="P55" i="4"/>
  <c r="M55" i="4"/>
  <c r="K55" i="4"/>
  <c r="AM54" i="4"/>
  <c r="O54" i="4"/>
  <c r="N54" i="4"/>
  <c r="L54" i="4"/>
  <c r="J54" i="4"/>
  <c r="AT53" i="4"/>
  <c r="AM53" i="4"/>
  <c r="AF53" i="4"/>
  <c r="AO53" i="4" s="1"/>
  <c r="K53" i="4"/>
  <c r="R53" i="4"/>
  <c r="P53" i="4"/>
  <c r="AM51" i="4"/>
  <c r="AG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AQ46" i="4" s="1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AQ44" i="4" s="1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K42" i="4" s="1"/>
  <c r="AG41" i="4"/>
  <c r="AG40" i="4"/>
  <c r="Y40" i="4"/>
  <c r="U40" i="4"/>
  <c r="R40" i="4"/>
  <c r="P40" i="4"/>
  <c r="AG39" i="4"/>
  <c r="AO39" i="4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K38" i="4"/>
  <c r="AM37" i="4"/>
  <c r="O37" i="4"/>
  <c r="N37" i="4"/>
  <c r="L37" i="4"/>
  <c r="J37" i="4"/>
  <c r="AM36" i="4"/>
  <c r="AG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Y26" i="4"/>
  <c r="R26" i="4"/>
  <c r="AG25" i="4"/>
  <c r="Y25" i="4"/>
  <c r="R25" i="4"/>
  <c r="AM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U20" i="4"/>
  <c r="R20" i="4"/>
  <c r="P20" i="4"/>
  <c r="M20" i="4"/>
  <c r="K20" i="4"/>
  <c r="AM19" i="4"/>
  <c r="AG19" i="4"/>
  <c r="U19" i="4"/>
  <c r="R19" i="4"/>
  <c r="P19" i="4"/>
  <c r="M19" i="4"/>
  <c r="K19" i="4"/>
  <c r="AM18" i="4"/>
  <c r="AG18" i="4"/>
  <c r="U18" i="4"/>
  <c r="U17" i="4" s="1"/>
  <c r="R18" i="4"/>
  <c r="P18" i="4"/>
  <c r="M18" i="4"/>
  <c r="K18" i="4"/>
  <c r="K17" i="4" s="1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U16" i="4"/>
  <c r="R16" i="4"/>
  <c r="P16" i="4"/>
  <c r="M16" i="4"/>
  <c r="K16" i="4"/>
  <c r="AM15" i="4"/>
  <c r="AG15" i="4"/>
  <c r="U15" i="4"/>
  <c r="R15" i="4"/>
  <c r="P15" i="4"/>
  <c r="M15" i="4"/>
  <c r="K15" i="4"/>
  <c r="AM14" i="4"/>
  <c r="AG14" i="4"/>
  <c r="U14" i="4"/>
  <c r="R14" i="4"/>
  <c r="P14" i="4"/>
  <c r="M14" i="4"/>
  <c r="K14" i="4"/>
  <c r="AM13" i="4"/>
  <c r="AG13" i="4"/>
  <c r="P13" i="4"/>
  <c r="M13" i="4"/>
  <c r="K13" i="4"/>
  <c r="AM12" i="4"/>
  <c r="AG12" i="4"/>
  <c r="U12" i="4"/>
  <c r="R12" i="4"/>
  <c r="P12" i="4"/>
  <c r="M12" i="4"/>
  <c r="AS12" i="4" s="1"/>
  <c r="K12" i="4"/>
  <c r="AM11" i="4"/>
  <c r="AG11" i="4"/>
  <c r="U11" i="4"/>
  <c r="R11" i="4"/>
  <c r="P11" i="4"/>
  <c r="M11" i="4"/>
  <c r="K11" i="4"/>
  <c r="AT10" i="4"/>
  <c r="AM10" i="4"/>
  <c r="AG10" i="4"/>
  <c r="AQ10" i="4"/>
  <c r="R10" i="4"/>
  <c r="P10" i="4"/>
  <c r="M10" i="4"/>
  <c r="K10" i="4"/>
  <c r="AM7" i="4"/>
  <c r="R17" i="4" l="1"/>
  <c r="M37" i="4"/>
  <c r="AK30" i="4"/>
  <c r="AQ30" i="4"/>
  <c r="AO30" i="4"/>
  <c r="AQ58" i="4"/>
  <c r="AQ56" i="4"/>
  <c r="AO55" i="4"/>
  <c r="AF54" i="4"/>
  <c r="Y54" i="4"/>
  <c r="AN11" i="4"/>
  <c r="AQ11" i="4"/>
  <c r="AN56" i="4"/>
  <c r="AO56" i="4"/>
  <c r="AK56" i="4"/>
  <c r="AQ43" i="4"/>
  <c r="AN19" i="4"/>
  <c r="AH61" i="4"/>
  <c r="AL57" i="4"/>
  <c r="AO57" i="4"/>
  <c r="AN58" i="4"/>
  <c r="AO58" i="4"/>
  <c r="AO15" i="4"/>
  <c r="AO16" i="4"/>
  <c r="AK12" i="4"/>
  <c r="AL18" i="4"/>
  <c r="AQ18" i="4"/>
  <c r="AP60" i="4"/>
  <c r="AO10" i="4"/>
  <c r="AF50" i="4"/>
  <c r="AG37" i="4"/>
  <c r="AN53" i="4"/>
  <c r="AJ53" i="4"/>
  <c r="R38" i="4"/>
  <c r="AS62" i="4"/>
  <c r="O23" i="4"/>
  <c r="O7" i="4" s="1"/>
  <c r="O63" i="4" s="1"/>
  <c r="P38" i="4"/>
  <c r="P37" i="4" s="1"/>
  <c r="AR20" i="4"/>
  <c r="W9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T3" i="4"/>
  <c r="U45" i="4"/>
  <c r="P45" i="4"/>
  <c r="U23" i="4"/>
  <c r="R37" i="4"/>
  <c r="K54" i="4"/>
  <c r="AN42" i="4"/>
  <c r="AL13" i="4"/>
  <c r="AN46" i="4"/>
  <c r="AP21" i="4"/>
  <c r="Y45" i="4"/>
  <c r="Y17" i="4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O8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O45" i="4" s="1"/>
  <c r="AJ48" i="4"/>
  <c r="AT51" i="4"/>
  <c r="AT50" i="4" s="1"/>
  <c r="J63" i="4"/>
  <c r="AS55" i="4"/>
  <c r="M54" i="4"/>
  <c r="AI55" i="4"/>
  <c r="AH41" i="4"/>
  <c r="AH13" i="4"/>
  <c r="AR13" i="4"/>
  <c r="AN15" i="4"/>
  <c r="AR18" i="4"/>
  <c r="AJ18" i="4"/>
  <c r="AI18" i="4"/>
  <c r="AF17" i="4"/>
  <c r="AF9" i="4" s="1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AQ29" i="4" l="1"/>
  <c r="AO29" i="4"/>
  <c r="AQ45" i="4"/>
  <c r="Y9" i="4"/>
  <c r="AQ17" i="4"/>
  <c r="AS24" i="4"/>
  <c r="AO24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Y7" i="4" l="1"/>
  <c r="Y8" i="4" s="1"/>
  <c r="AA63" i="4"/>
  <c r="P8" i="4"/>
  <c r="V3" i="4"/>
  <c r="W8" i="4"/>
  <c r="V65" i="4"/>
  <c r="AG7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Y63" i="4" l="1"/>
  <c r="Z3" i="4" s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Q63" i="4" l="1"/>
  <c r="AG63" i="4"/>
  <c r="AL63" i="4"/>
  <c r="AK63" i="4"/>
  <c r="AR63" i="4"/>
  <c r="AJ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T63" i="4"/>
  <c r="U13" i="4"/>
  <c r="U9" i="4" s="1"/>
  <c r="R13" i="4"/>
  <c r="R7" i="4" s="1"/>
  <c r="U7" i="4" l="1"/>
  <c r="U8" i="4" s="1"/>
  <c r="R8" i="4"/>
  <c r="R63" i="4"/>
  <c r="U63" i="4"/>
</calcChain>
</file>

<file path=xl/sharedStrings.xml><?xml version="1.0" encoding="utf-8"?>
<sst xmlns="http://schemas.openxmlformats.org/spreadsheetml/2006/main" count="132" uniqueCount="108">
  <si>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</si>
  <si>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</si>
  <si>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</si>
  <si>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</si>
  <si>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</si>
  <si>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</si>
  <si>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</si>
  <si>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</si>
  <si>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</si>
  <si>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</si>
  <si>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</si>
  <si>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</si>
  <si>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</si>
  <si>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</si>
  <si>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</si>
  <si>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</si>
  <si>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</si>
  <si>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</si>
  <si>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</si>
  <si>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</si>
  <si>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</si>
  <si>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</si>
  <si>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</si>
  <si>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</si>
  <si>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</si>
  <si>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</si>
  <si>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</si>
  <si>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</si>
  <si>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</si>
  <si>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</si>
  <si>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</si>
  <si>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</si>
  <si>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</si>
  <si>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</si>
  <si>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</si>
  <si>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</si>
  <si>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</si>
  <si>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</si>
  <si>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</si>
  <si>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</si>
  <si>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</si>
  <si>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</si>
  <si>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</si>
  <si>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</si>
  <si>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</si>
  <si>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</si>
  <si>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</si>
  <si>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</si>
  <si>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</si>
  <si>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</si>
  <si>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</si>
  <si>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</si>
  <si>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</si>
  <si>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</si>
  <si>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</si>
  <si>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</si>
  <si>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</si>
  <si>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</si>
  <si>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</si>
  <si>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</si>
  <si>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</si>
  <si>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</si>
  <si>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</si>
  <si>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</si>
  <si>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</si>
  <si>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</si>
  <si>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</si>
  <si>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</si>
  <si>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НАЛОГОВЫЕ ДОХОДЫ, в т.ч.:</t>
  </si>
  <si>
    <t>НЕНАЛОГОВЫЕ ДОХОДЫ, в т.ч.: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</si>
  <si>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</si>
  <si>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</si>
  <si>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</si>
  <si>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</si>
  <si>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</si>
  <si>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откл за отч период к  плану года</t>
  </si>
  <si>
    <t>начальник ФУ АБМО СК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</si>
  <si>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</si>
  <si>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</si>
  <si>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</si>
  <si>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</si>
  <si>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</si>
  <si>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</si>
  <si>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</si>
  <si>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</si>
  <si>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</si>
  <si>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</si>
  <si>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</si>
  <si>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</si>
  <si>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</si>
  <si>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</si>
  <si>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</si>
  <si>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</si>
  <si>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</si>
  <si>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откл.+- от уточненного годового плана 2024 г</t>
  </si>
  <si>
    <t>План по доходам на 2024 г (уточненный)</t>
  </si>
  <si>
    <t xml:space="preserve">в связи с уточнением невыясненных платежей;  
уплата арендной платы в счет бущих периодов, т.е. раньше установленного срока
</t>
  </si>
  <si>
    <t>744 1 13 01994 14 0000 130</t>
  </si>
  <si>
    <t>Исполнение бюджета Благодарненского муниципального округа Ставропольского края по доходам по состоянию на 02.05.2024 года</t>
  </si>
  <si>
    <t>Исполнено с 01.01.2023 по 02.05.2023 год</t>
  </si>
  <si>
    <r>
      <t>Исполнено с 01.01.2023 года по 02.05.2023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</si>
  <si>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откл.+- от плана за 5 месяцев 2024 года</t>
  </si>
  <si>
    <t>откл.+- от исполнения на 02.05.2023 г  (в сопоставимых условиях 2024 года)</t>
  </si>
  <si>
    <t>с 19.04.2024 по 25.04.2024 (неделя) П</t>
  </si>
  <si>
    <t>с 26.04.2024 по 02.05.2024 (неделя) Т</t>
  </si>
  <si>
    <t>Исполнение с 01.01.2024 по 25.04.2024
(53,08%)</t>
  </si>
  <si>
    <r>
      <t xml:space="preserve">Исполнение с 01.01.2024 по 02.05.2024
</t>
    </r>
    <r>
      <rPr>
        <b/>
        <sz val="14"/>
        <rFont val="Times New Roman"/>
        <family val="1"/>
        <charset val="204"/>
      </rPr>
      <t>(53,08%)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</si>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</sst>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164" fontId="3" fillId="13" borderId="2" xfId="1" applyNumberFormat="1" applyFont="1" applyFill="1" applyBorder="1" applyAlignment="1" applyProtection="1">
      <alignment horizontal="right"/>
      <protection hidden="1"/>
    </xf>
    <xf numFmtId="164" fontId="4" fillId="13" borderId="2" xfId="1" applyNumberFormat="1" applyFont="1" applyFill="1" applyBorder="1" applyAlignment="1" applyProtection="1">
      <alignment horizontal="right"/>
      <protection hidden="1"/>
    </xf>
    <xf numFmtId="164" fontId="4" fillId="7" borderId="2" xfId="1" applyNumberFormat="1" applyFont="1" applyFill="1" applyBorder="1" applyProtection="1">
      <protection hidden="1"/>
    </xf>
    <xf numFmtId="4" fontId="5" fillId="0" borderId="0" xfId="1" applyNumberFormat="1" applyFont="1" applyAlignment="1">
      <alignment horizontal="center"/>
    </xf>
    <xf numFmtId="0" fontId="4" fillId="0" borderId="1" xfId="1" applyFont="1" applyBorder="1" applyAlignment="1" applyProtection="1">
      <alignment horizontal="left"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  <xf numFmtId="0" fontId="4" fillId="3" borderId="12" xfId="1" applyFont="1" applyFill="1" applyBorder="1" applyAlignment="1" applyProtection="1">
      <alignment horizontal="center" vertical="center" wrapText="1"/>
      <protection hidden="1"/>
    </xf>
    <xf numFmtId="0" fontId="4" fillId="3" borderId="13" xfId="1" applyFont="1" applyFill="1" applyBorder="1" applyAlignment="1" applyProtection="1">
      <alignment horizontal="center" vertical="center" wrapText="1"/>
      <protection hidden="1"/>
    </xf>
    <xf numFmtId="0" fontId="4" fillId="3" borderId="14" xfId="1" applyFont="1" applyFill="1" applyBorder="1" applyAlignment="1" applyProtection="1">
      <alignment horizontal="center" vertical="center" wrapText="1"/>
      <protection hidden="1"/>
    </xf>
    <xf numFmtId="0" fontId="4" fillId="3" borderId="15" xfId="1" applyFont="1" applyFill="1" applyBorder="1" applyAlignment="1" applyProtection="1">
      <alignment horizontal="center" vertical="center" wrapText="1"/>
      <protection hidden="1"/>
    </xf>
  </cellXfs>
  <cellStyles count="26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V76"/>
  <sheetViews>
    <sheetView showGridLines="0" tabSelected="1" view="pageBreakPreview" zoomScale="66" zoomScaleNormal="68" zoomScaleSheetLayoutView="66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A8" sqref="A8:XFD5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3.7109375" style="1" hidden="1" customWidth="1"/>
    <col min="21" max="21" width="23.7109375" style="1" customWidth="1"/>
    <col min="22" max="22" width="26.85546875" style="1" hidden="1" customWidth="1"/>
    <col min="23" max="23" width="19.7109375" style="1" hidden="1" customWidth="1"/>
    <col min="24" max="24" width="3.8554687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1.85546875" style="1" hidden="1" customWidth="1"/>
    <col min="29" max="29" width="22.140625" style="1" hidden="1" customWidth="1"/>
    <col min="30" max="30" width="22" style="1" hidden="1" customWidth="1"/>
    <col min="31" max="31" width="25.140625" style="1" hidden="1" customWidth="1"/>
    <col min="32" max="32" width="26.7109375" style="1" customWidth="1"/>
    <col min="33" max="33" width="21.42578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2.5703125" style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37" t="s">
        <v>98</v>
      </c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23.562852596757626</v>
      </c>
      <c r="U3" s="104"/>
      <c r="V3" s="106">
        <f>V8/S8%</f>
        <v>25.022229738645631</v>
      </c>
      <c r="W3" s="106"/>
      <c r="X3" s="105"/>
      <c r="Y3" s="80"/>
      <c r="Z3" s="80">
        <f>U3-Y63</f>
        <v>-799456981.25742459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59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38" t="s">
        <v>34</v>
      </c>
      <c r="J4" s="131" t="s">
        <v>45</v>
      </c>
      <c r="K4" s="131" t="s">
        <v>51</v>
      </c>
      <c r="L4" s="136" t="s">
        <v>56</v>
      </c>
      <c r="M4" s="131" t="s">
        <v>54</v>
      </c>
      <c r="N4" s="131" t="s">
        <v>53</v>
      </c>
      <c r="O4" s="136" t="s">
        <v>50</v>
      </c>
      <c r="P4" s="131" t="s">
        <v>63</v>
      </c>
      <c r="Q4" s="136" t="s">
        <v>65</v>
      </c>
      <c r="R4" s="131" t="s">
        <v>64</v>
      </c>
      <c r="S4" s="130" t="s">
        <v>82</v>
      </c>
      <c r="T4" s="136" t="s">
        <v>81</v>
      </c>
      <c r="U4" s="131" t="s">
        <v>83</v>
      </c>
      <c r="V4" s="136" t="s">
        <v>99</v>
      </c>
      <c r="W4" s="139" t="s">
        <v>75</v>
      </c>
      <c r="X4" s="127" t="s">
        <v>80</v>
      </c>
      <c r="Y4" s="131" t="s">
        <v>100</v>
      </c>
      <c r="Z4" s="132" t="s">
        <v>66</v>
      </c>
      <c r="AA4" s="141" t="s">
        <v>95</v>
      </c>
      <c r="AB4" s="142"/>
      <c r="AC4" s="124" t="s">
        <v>57</v>
      </c>
      <c r="AD4" s="124"/>
      <c r="AE4" s="134" t="s">
        <v>105</v>
      </c>
      <c r="AF4" s="131" t="s">
        <v>106</v>
      </c>
      <c r="AG4" s="128" t="s">
        <v>43</v>
      </c>
      <c r="AH4" s="130" t="s">
        <v>67</v>
      </c>
      <c r="AI4" s="130"/>
      <c r="AJ4" s="124" t="s">
        <v>94</v>
      </c>
      <c r="AK4" s="124"/>
      <c r="AL4" s="124" t="s">
        <v>52</v>
      </c>
      <c r="AM4" s="124"/>
      <c r="AN4" s="124" t="s">
        <v>101</v>
      </c>
      <c r="AO4" s="124"/>
      <c r="AP4" s="124" t="s">
        <v>102</v>
      </c>
      <c r="AQ4" s="124"/>
      <c r="AR4" s="124" t="s">
        <v>55</v>
      </c>
      <c r="AS4" s="124"/>
      <c r="AT4" s="33" t="s">
        <v>49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38"/>
      <c r="J5" s="131"/>
      <c r="K5" s="131"/>
      <c r="L5" s="136"/>
      <c r="M5" s="131"/>
      <c r="N5" s="131"/>
      <c r="O5" s="136"/>
      <c r="P5" s="131"/>
      <c r="Q5" s="136"/>
      <c r="R5" s="131"/>
      <c r="S5" s="130"/>
      <c r="T5" s="136"/>
      <c r="U5" s="131"/>
      <c r="V5" s="136"/>
      <c r="W5" s="140"/>
      <c r="X5" s="127"/>
      <c r="Y5" s="131"/>
      <c r="Z5" s="133"/>
      <c r="AA5" s="143"/>
      <c r="AB5" s="144"/>
      <c r="AC5" s="79" t="s">
        <v>103</v>
      </c>
      <c r="AD5" s="79" t="s">
        <v>104</v>
      </c>
      <c r="AE5" s="135"/>
      <c r="AF5" s="131"/>
      <c r="AG5" s="129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8</v>
      </c>
      <c r="AG6" s="30">
        <v>9</v>
      </c>
      <c r="AH6" s="30">
        <v>10</v>
      </c>
      <c r="AI6" s="30">
        <v>11</v>
      </c>
      <c r="AJ6" s="30">
        <v>10</v>
      </c>
      <c r="AK6" s="30">
        <v>11</v>
      </c>
      <c r="AL6" s="30">
        <v>9</v>
      </c>
      <c r="AM6" s="30">
        <v>10</v>
      </c>
      <c r="AN6" s="30">
        <v>12</v>
      </c>
      <c r="AO6" s="30">
        <v>13</v>
      </c>
      <c r="AP6" s="30">
        <v>14</v>
      </c>
      <c r="AQ6" s="30">
        <v>15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25" t="s">
        <v>8</v>
      </c>
      <c r="C7" s="125"/>
      <c r="D7" s="125"/>
      <c r="E7" s="125"/>
      <c r="F7" s="125"/>
      <c r="G7" s="125"/>
      <c r="H7" s="125"/>
      <c r="I7" s="125"/>
      <c r="J7" s="44">
        <f t="shared" ref="J7:P7" si="0">J10+J11+J13+J14+J15+J16+J17+J20+J23+J36+J37+J45+J48+J50+J12</f>
        <v>360649780.94999993</v>
      </c>
      <c r="K7" s="44">
        <f t="shared" si="0"/>
        <v>345578207.62513435</v>
      </c>
      <c r="L7" s="44">
        <f t="shared" si="0"/>
        <v>126453042.85999998</v>
      </c>
      <c r="M7" s="44">
        <f t="shared" si="0"/>
        <v>121703859.53554319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570370197.14584184</v>
      </c>
      <c r="V7" s="44">
        <f>V9+V22</f>
        <v>109736906.65000001</v>
      </c>
      <c r="W7" s="44">
        <f>V7/S7%</f>
        <v>26.775780304223446</v>
      </c>
      <c r="X7" s="44">
        <f>X9+X22</f>
        <v>0</v>
      </c>
      <c r="Y7" s="44">
        <f>Y9+Y22</f>
        <v>138783584.89742464</v>
      </c>
      <c r="Z7" s="44">
        <f t="shared" ref="Z7:AF7" si="2">Z9+Z22</f>
        <v>400415099.64999998</v>
      </c>
      <c r="AA7" s="44">
        <f t="shared" si="2"/>
        <v>578105570.37</v>
      </c>
      <c r="AB7" s="44">
        <f t="shared" si="2"/>
        <v>209317300.96000001</v>
      </c>
      <c r="AC7" s="44">
        <f t="shared" ref="AC7:AD7" si="3">AC9+AC22</f>
        <v>-2375348.9699999997</v>
      </c>
      <c r="AD7" s="44">
        <f t="shared" si="3"/>
        <v>26314235.309999999</v>
      </c>
      <c r="AE7" s="44">
        <v>140540532.46000001</v>
      </c>
      <c r="AF7" s="44">
        <f t="shared" si="2"/>
        <v>166854767.77000004</v>
      </c>
      <c r="AG7" s="44">
        <f>AD7-AC7</f>
        <v>28689584.279999997</v>
      </c>
      <c r="AH7" s="44">
        <f t="shared" ref="AH7:AH63" si="4">AF7-Z7</f>
        <v>-233560331.87999994</v>
      </c>
      <c r="AI7" s="44">
        <f t="shared" ref="AI7:AI28" si="5">AF7/Z7*100</f>
        <v>41.670448471060809</v>
      </c>
      <c r="AJ7" s="44">
        <f>AF7-AA7</f>
        <v>-411250802.59999996</v>
      </c>
      <c r="AK7" s="44">
        <f>AF7/AA7%</f>
        <v>28.862335241504315</v>
      </c>
      <c r="AL7" s="44" t="e">
        <f>AF7-#REF!</f>
        <v>#REF!</v>
      </c>
      <c r="AM7" s="44" t="e">
        <f>IF(#REF!=0,0,AF7/#REF!*100)</f>
        <v>#REF!</v>
      </c>
      <c r="AN7" s="44">
        <f>AF7-AB7</f>
        <v>-42462533.189999968</v>
      </c>
      <c r="AO7" s="44">
        <f>AF7/AB7*100</f>
        <v>79.713796711856872</v>
      </c>
      <c r="AP7" s="44">
        <f>AF7-Y7</f>
        <v>28071182.872575402</v>
      </c>
      <c r="AQ7" s="44">
        <f>AF7/Y7%</f>
        <v>120.226587238918</v>
      </c>
      <c r="AR7" s="44">
        <f>AF7-M7</f>
        <v>45150908.234456852</v>
      </c>
      <c r="AS7" s="44">
        <f>IF(M7=0,0,AF7/M7*100)</f>
        <v>137.09899456497573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61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530697155.89584184</v>
      </c>
      <c r="V8" s="52">
        <f>V7-V37-V53</f>
        <v>92602527.519999996</v>
      </c>
      <c r="W8" s="44">
        <f t="shared" ref="W8:W9" si="7">V8/S8%</f>
        <v>25.022229738645631</v>
      </c>
      <c r="X8" s="52">
        <f t="shared" ref="X8:AB8" si="8">X7-X37-X53</f>
        <v>0</v>
      </c>
      <c r="Y8" s="52">
        <f t="shared" si="8"/>
        <v>121649205.76742463</v>
      </c>
      <c r="Z8" s="52">
        <f t="shared" si="8"/>
        <v>372608810</v>
      </c>
      <c r="AA8" s="52">
        <f t="shared" si="8"/>
        <v>545150607.50999999</v>
      </c>
      <c r="AB8" s="52">
        <f t="shared" si="8"/>
        <v>192400367.38</v>
      </c>
      <c r="AC8" s="52">
        <f t="shared" ref="AC8:AD8" si="9">AC7-AC37-AC53</f>
        <v>-2861300.8</v>
      </c>
      <c r="AD8" s="52">
        <f t="shared" si="9"/>
        <v>25858113.759999998</v>
      </c>
      <c r="AE8" s="52">
        <v>124884511.52</v>
      </c>
      <c r="AF8" s="52">
        <f>AF7-AF37-AF53</f>
        <v>150742625.28000003</v>
      </c>
      <c r="AG8" s="51">
        <f t="shared" ref="AG8:AG63" si="10">AD8-AC8</f>
        <v>28719414.559999999</v>
      </c>
      <c r="AH8" s="64">
        <f t="shared" si="4"/>
        <v>-221866184.71999997</v>
      </c>
      <c r="AI8" s="64">
        <f t="shared" si="5"/>
        <v>40.456001370445328</v>
      </c>
      <c r="AJ8" s="51">
        <f t="shared" ref="AJ8:AJ62" si="11">AF8-AA8</f>
        <v>-394407982.22999996</v>
      </c>
      <c r="AK8" s="51">
        <f>AF8/AA8%</f>
        <v>27.651555955981372</v>
      </c>
      <c r="AL8" s="51"/>
      <c r="AM8" s="51"/>
      <c r="AN8" s="64">
        <f t="shared" ref="AN8:AN63" si="12">AF8-AB8</f>
        <v>-41657742.099999964</v>
      </c>
      <c r="AO8" s="64">
        <f t="shared" ref="AO8:AO63" si="13">AF8/AB8*100</f>
        <v>78.348408234728623</v>
      </c>
      <c r="AP8" s="51">
        <f t="shared" ref="AP8:AP63" si="14">AF8-Y8</f>
        <v>29093419.512575403</v>
      </c>
      <c r="AQ8" s="51">
        <f>AF8/Y8%</f>
        <v>123.91583186181892</v>
      </c>
      <c r="AR8" s="23"/>
      <c r="AS8" s="23"/>
      <c r="AT8" s="49"/>
    </row>
    <row r="9" spans="1:47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68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5">S10+S11+S12+S13+S14+S15+S16+S17+S20+S21</f>
        <v>323360088.5</v>
      </c>
      <c r="T9" s="70">
        <f t="shared" si="15"/>
        <v>339771027.17000008</v>
      </c>
      <c r="U9" s="70">
        <f t="shared" ref="U9:AA9" si="16">U10+U11+U12+U13+U14+U15+U16+U17+U20+U21</f>
        <v>478641130.07584172</v>
      </c>
      <c r="V9" s="70">
        <f t="shared" si="16"/>
        <v>76192861.010000005</v>
      </c>
      <c r="W9" s="44">
        <f t="shared" si="7"/>
        <v>23.562852596757626</v>
      </c>
      <c r="X9" s="70">
        <f t="shared" si="16"/>
        <v>0</v>
      </c>
      <c r="Y9" s="70">
        <f>Y10+Y11+Y12+Y13+Y14+Y15+Y16+Y17+Y20+Y21</f>
        <v>105239539.25742462</v>
      </c>
      <c r="Z9" s="70">
        <f t="shared" si="16"/>
        <v>323434900</v>
      </c>
      <c r="AA9" s="70">
        <f t="shared" si="16"/>
        <v>493890337.50999999</v>
      </c>
      <c r="AB9" s="70">
        <f>AB10+AB11+AB12+AB13+AB14+AB15+AB16+AB17+AB20+AB21</f>
        <v>175012291.84</v>
      </c>
      <c r="AC9" s="70">
        <f t="shared" ref="AC9:AD9" si="17">AC10+AC11+AC12+AC13+AC14+AC15+AC16+AC17+AC20+AC21</f>
        <v>-144278.92000000016</v>
      </c>
      <c r="AD9" s="70">
        <f t="shared" si="17"/>
        <v>25479976.059999999</v>
      </c>
      <c r="AE9" s="70">
        <v>109028723.59000002</v>
      </c>
      <c r="AF9" s="70">
        <f>AF10+AF11+AF12+AF13+AF14+AF15+AF16+AF17+AF20+AF21</f>
        <v>134508699.65000004</v>
      </c>
      <c r="AG9" s="71">
        <f t="shared" si="10"/>
        <v>25624254.98</v>
      </c>
      <c r="AH9" s="72"/>
      <c r="AI9" s="72"/>
      <c r="AJ9" s="71">
        <f t="shared" si="11"/>
        <v>-359381637.85999995</v>
      </c>
      <c r="AK9" s="71">
        <f>AF9/AA9%</f>
        <v>27.234527471855348</v>
      </c>
      <c r="AL9" s="73"/>
      <c r="AM9" s="73"/>
      <c r="AN9" s="72">
        <f t="shared" si="12"/>
        <v>-40503592.189999968</v>
      </c>
      <c r="AO9" s="72">
        <f t="shared" si="13"/>
        <v>76.856715740269706</v>
      </c>
      <c r="AP9" s="71">
        <f t="shared" si="14"/>
        <v>29269160.392575413</v>
      </c>
      <c r="AQ9" s="71">
        <f>AF9/Y9%</f>
        <v>127.81194273473643</v>
      </c>
      <c r="AR9" s="23"/>
      <c r="AS9" s="23"/>
      <c r="AT9" s="49"/>
    </row>
    <row r="10" spans="1:47" s="10" customFormat="1" ht="91.5" hidden="1" customHeight="1" x14ac:dyDescent="0.3">
      <c r="A10" s="9"/>
      <c r="B10" s="126" t="s">
        <v>26</v>
      </c>
      <c r="C10" s="126"/>
      <c r="D10" s="126"/>
      <c r="E10" s="126"/>
      <c r="F10" s="126"/>
      <c r="G10" s="126"/>
      <c r="H10" s="126"/>
      <c r="I10" s="126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43542666.450000003</v>
      </c>
      <c r="W10" s="12"/>
      <c r="X10" s="46"/>
      <c r="Y10" s="47">
        <f>V10/31.84%*53.08%</f>
        <v>72589344.69742462</v>
      </c>
      <c r="Z10" s="46">
        <v>188231000</v>
      </c>
      <c r="AA10" s="46">
        <v>340259137.50999999</v>
      </c>
      <c r="AB10" s="46">
        <v>121542729.84</v>
      </c>
      <c r="AC10" s="46">
        <v>-555467.55000000005</v>
      </c>
      <c r="AD10" s="46">
        <v>20412920.07</v>
      </c>
      <c r="AE10" s="46">
        <v>72184924.920000017</v>
      </c>
      <c r="AF10" s="46">
        <f>AE10+AD10</f>
        <v>92597844.99000001</v>
      </c>
      <c r="AG10" s="46">
        <f t="shared" si="10"/>
        <v>20968387.620000001</v>
      </c>
      <c r="AH10" s="44">
        <f t="shared" si="4"/>
        <v>-95633155.00999999</v>
      </c>
      <c r="AI10" s="44">
        <f t="shared" si="5"/>
        <v>49.193727382843427</v>
      </c>
      <c r="AJ10" s="46">
        <f t="shared" si="11"/>
        <v>-247661292.51999998</v>
      </c>
      <c r="AK10" s="44">
        <f t="shared" ref="AK10:AK63" si="18">AF10/AA10%</f>
        <v>27.213918681986495</v>
      </c>
      <c r="AL10" s="46" t="e">
        <f>AF10-#REF!</f>
        <v>#REF!</v>
      </c>
      <c r="AM10" s="46" t="e">
        <f>IF(#REF!=0,0,AF10/#REF!*100)</f>
        <v>#REF!</v>
      </c>
      <c r="AN10" s="44">
        <f t="shared" si="12"/>
        <v>-28944884.849999994</v>
      </c>
      <c r="AO10" s="44">
        <f t="shared" si="13"/>
        <v>76.185424757117673</v>
      </c>
      <c r="AP10" s="46">
        <f t="shared" si="14"/>
        <v>20008500.292575389</v>
      </c>
      <c r="AQ10" s="44">
        <f t="shared" ref="AQ10:AQ19" si="19">AF10/Y10%</f>
        <v>127.56396324553853</v>
      </c>
      <c r="AR10" s="46">
        <f t="shared" ref="AR10:AR20" si="20">AF10-M10</f>
        <v>33762394.894456789</v>
      </c>
      <c r="AS10" s="46">
        <f t="shared" ref="AS10:AS20" si="21">IF(M10=0,0,AF10/M10*100)</f>
        <v>157.38444227014469</v>
      </c>
      <c r="AT10" s="48" t="e">
        <f>#REF!</f>
        <v>#REF!</v>
      </c>
      <c r="AU10" s="86"/>
    </row>
    <row r="11" spans="1:47" s="10" customFormat="1" ht="61.5" hidden="1" customHeight="1" x14ac:dyDescent="0.3">
      <c r="A11" s="9"/>
      <c r="B11" s="120" t="s">
        <v>25</v>
      </c>
      <c r="C11" s="120"/>
      <c r="D11" s="120"/>
      <c r="E11" s="120"/>
      <c r="F11" s="120"/>
      <c r="G11" s="120"/>
      <c r="H11" s="120"/>
      <c r="I11" s="120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10311536.539999999</v>
      </c>
      <c r="W11" s="12"/>
      <c r="X11" s="12"/>
      <c r="Y11" s="12">
        <f t="shared" ref="Y11:Y16" si="22">V11</f>
        <v>10311536.539999999</v>
      </c>
      <c r="Z11" s="12">
        <v>28603900</v>
      </c>
      <c r="AA11" s="12">
        <v>32294200</v>
      </c>
      <c r="AB11" s="12">
        <v>13129480</v>
      </c>
      <c r="AC11" s="12">
        <v>0</v>
      </c>
      <c r="AD11" s="12">
        <v>363103.32</v>
      </c>
      <c r="AE11" s="12">
        <v>8212604.4299999997</v>
      </c>
      <c r="AF11" s="12">
        <f t="shared" ref="AF11:AF62" si="23">AE11+AD11</f>
        <v>8575707.75</v>
      </c>
      <c r="AG11" s="12">
        <f t="shared" si="10"/>
        <v>363103.32</v>
      </c>
      <c r="AH11" s="44">
        <f t="shared" si="4"/>
        <v>-20028192.25</v>
      </c>
      <c r="AI11" s="44">
        <f t="shared" si="5"/>
        <v>29.980903827799704</v>
      </c>
      <c r="AJ11" s="12">
        <f t="shared" si="11"/>
        <v>-23718492.25</v>
      </c>
      <c r="AK11" s="44">
        <f t="shared" si="18"/>
        <v>26.554947173176608</v>
      </c>
      <c r="AL11" s="12" t="e">
        <f>AF11-#REF!</f>
        <v>#REF!</v>
      </c>
      <c r="AM11" s="12" t="e">
        <f>IF(#REF!=0,0,AF11/#REF!*100)</f>
        <v>#REF!</v>
      </c>
      <c r="AN11" s="44">
        <f t="shared" si="12"/>
        <v>-4553772.25</v>
      </c>
      <c r="AO11" s="44">
        <f>AF11/AB11*100</f>
        <v>65.316431039157692</v>
      </c>
      <c r="AP11" s="12">
        <f t="shared" si="14"/>
        <v>-1735828.7899999991</v>
      </c>
      <c r="AQ11" s="44">
        <f t="shared" si="19"/>
        <v>83.166148097652965</v>
      </c>
      <c r="AR11" s="12">
        <f t="shared" si="20"/>
        <v>681782.63999999966</v>
      </c>
      <c r="AS11" s="12">
        <f t="shared" si="21"/>
        <v>108.63680147074513</v>
      </c>
      <c r="AT11" s="34">
        <v>24865000</v>
      </c>
    </row>
    <row r="12" spans="1:47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46</v>
      </c>
      <c r="J12" s="12">
        <v>0</v>
      </c>
      <c r="K12" s="12">
        <f t="shared" ref="K12:K13" si="24">J12</f>
        <v>0</v>
      </c>
      <c r="L12" s="12">
        <v>0</v>
      </c>
      <c r="M12" s="36">
        <f t="shared" ref="M12" si="25">L12</f>
        <v>0</v>
      </c>
      <c r="N12" s="12">
        <v>8810490.5399999991</v>
      </c>
      <c r="O12" s="12">
        <v>9529840.7599999998</v>
      </c>
      <c r="P12" s="12">
        <f t="shared" ref="P12:P15" si="26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12">
        <f>T12</f>
        <v>13804818.220000001</v>
      </c>
      <c r="V12" s="12">
        <v>5356879.05</v>
      </c>
      <c r="W12" s="12"/>
      <c r="X12" s="12"/>
      <c r="Y12" s="12">
        <f t="shared" si="22"/>
        <v>5356879.05</v>
      </c>
      <c r="Z12" s="12">
        <v>11972000</v>
      </c>
      <c r="AA12" s="12">
        <v>27969000</v>
      </c>
      <c r="AB12" s="12">
        <v>11628089</v>
      </c>
      <c r="AC12" s="12">
        <v>-69120.25</v>
      </c>
      <c r="AD12" s="12">
        <v>1288127.99</v>
      </c>
      <c r="AE12" s="12">
        <v>2237730.4899999998</v>
      </c>
      <c r="AF12" s="12">
        <f t="shared" si="23"/>
        <v>3525858.4799999995</v>
      </c>
      <c r="AG12" s="12">
        <f t="shared" si="10"/>
        <v>1357248.24</v>
      </c>
      <c r="AH12" s="44">
        <f t="shared" si="4"/>
        <v>-8446141.5199999996</v>
      </c>
      <c r="AI12" s="44">
        <f t="shared" si="5"/>
        <v>29.450872702973601</v>
      </c>
      <c r="AJ12" s="12">
        <f t="shared" si="11"/>
        <v>-24443141.52</v>
      </c>
      <c r="AK12" s="44">
        <f t="shared" si="18"/>
        <v>12.606308698916656</v>
      </c>
      <c r="AL12" s="12" t="e">
        <f>AF12-#REF!</f>
        <v>#REF!</v>
      </c>
      <c r="AM12" s="12" t="e">
        <f>IF(#REF!=0,0,AF12/#REF!*100)</f>
        <v>#REF!</v>
      </c>
      <c r="AN12" s="44">
        <f t="shared" si="12"/>
        <v>-8102230.5200000005</v>
      </c>
      <c r="AO12" s="44">
        <f t="shared" si="13"/>
        <v>30.32190826884796</v>
      </c>
      <c r="AP12" s="12">
        <f t="shared" si="14"/>
        <v>-1831020.5700000003</v>
      </c>
      <c r="AQ12" s="44">
        <f t="shared" si="19"/>
        <v>65.81926616394297</v>
      </c>
      <c r="AR12" s="12">
        <f t="shared" si="20"/>
        <v>3525858.4799999995</v>
      </c>
      <c r="AS12" s="12">
        <f t="shared" si="21"/>
        <v>0</v>
      </c>
      <c r="AT12" s="34">
        <f>AF12</f>
        <v>3525858.4799999995</v>
      </c>
    </row>
    <row r="13" spans="1:47" s="10" customFormat="1" ht="70.5" hidden="1" customHeight="1" x14ac:dyDescent="0.3">
      <c r="A13" s="9"/>
      <c r="B13" s="120" t="s">
        <v>24</v>
      </c>
      <c r="C13" s="120"/>
      <c r="D13" s="120"/>
      <c r="E13" s="120"/>
      <c r="F13" s="120"/>
      <c r="G13" s="120"/>
      <c r="H13" s="120"/>
      <c r="I13" s="120"/>
      <c r="J13" s="12">
        <v>11880184.26</v>
      </c>
      <c r="K13" s="12">
        <f t="shared" si="24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6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7">T13</f>
        <v>-283271.29000000004</v>
      </c>
      <c r="V13" s="12">
        <v>-361022.61</v>
      </c>
      <c r="W13" s="12"/>
      <c r="X13" s="12"/>
      <c r="Y13" s="12">
        <f t="shared" si="22"/>
        <v>-361022.61</v>
      </c>
      <c r="Z13" s="12">
        <v>8000</v>
      </c>
      <c r="AA13" s="12">
        <v>0</v>
      </c>
      <c r="AB13" s="12">
        <v>0</v>
      </c>
      <c r="AC13" s="12">
        <v>0</v>
      </c>
      <c r="AD13" s="12">
        <v>42.31</v>
      </c>
      <c r="AE13" s="12">
        <v>-618.75999999999976</v>
      </c>
      <c r="AF13" s="12">
        <f t="shared" si="23"/>
        <v>-576.44999999999982</v>
      </c>
      <c r="AG13" s="12">
        <f t="shared" si="10"/>
        <v>42.31</v>
      </c>
      <c r="AH13" s="44">
        <f t="shared" si="4"/>
        <v>-8576.4500000000007</v>
      </c>
      <c r="AI13" s="44">
        <f t="shared" si="5"/>
        <v>-7.2056249999999977</v>
      </c>
      <c r="AJ13" s="12">
        <f t="shared" si="11"/>
        <v>-576.44999999999982</v>
      </c>
      <c r="AK13" s="115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2"/>
        <v>-576.44999999999982</v>
      </c>
      <c r="AO13" s="115">
        <v>0</v>
      </c>
      <c r="AP13" s="12">
        <f t="shared" si="14"/>
        <v>360446.16</v>
      </c>
      <c r="AQ13" s="44">
        <f t="shared" si="19"/>
        <v>0.15967143996881519</v>
      </c>
      <c r="AR13" s="12">
        <f t="shared" si="20"/>
        <v>-5415255.3100000005</v>
      </c>
      <c r="AS13" s="12">
        <f t="shared" si="21"/>
        <v>-1.0646060734246385E-2</v>
      </c>
      <c r="AT13" s="34">
        <f>AF13</f>
        <v>-576.44999999999982</v>
      </c>
      <c r="AU13" s="86" t="s">
        <v>74</v>
      </c>
    </row>
    <row r="14" spans="1:47" s="10" customFormat="1" ht="42.75" hidden="1" customHeight="1" x14ac:dyDescent="0.3">
      <c r="A14" s="9"/>
      <c r="B14" s="120" t="s">
        <v>23</v>
      </c>
      <c r="C14" s="120"/>
      <c r="D14" s="120"/>
      <c r="E14" s="120"/>
      <c r="F14" s="120"/>
      <c r="G14" s="120"/>
      <c r="H14" s="120"/>
      <c r="I14" s="120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3923875.01</v>
      </c>
      <c r="W14" s="12"/>
      <c r="X14" s="12"/>
      <c r="Y14" s="12">
        <f t="shared" si="22"/>
        <v>3923875.01</v>
      </c>
      <c r="Z14" s="12">
        <v>5814000</v>
      </c>
      <c r="AA14" s="12">
        <v>7692000</v>
      </c>
      <c r="AB14" s="12">
        <v>7692000</v>
      </c>
      <c r="AC14" s="12">
        <v>28147.74</v>
      </c>
      <c r="AD14" s="12">
        <v>24320.78</v>
      </c>
      <c r="AE14" s="12">
        <v>8841766.2300000023</v>
      </c>
      <c r="AF14" s="12">
        <f t="shared" si="23"/>
        <v>8866087.0100000016</v>
      </c>
      <c r="AG14" s="12">
        <f t="shared" si="10"/>
        <v>-3826.9600000000028</v>
      </c>
      <c r="AH14" s="44">
        <f t="shared" si="4"/>
        <v>3052087.0100000016</v>
      </c>
      <c r="AI14" s="44">
        <f t="shared" si="5"/>
        <v>152.49547660818718</v>
      </c>
      <c r="AJ14" s="12">
        <f t="shared" si="11"/>
        <v>1174087.0100000016</v>
      </c>
      <c r="AK14" s="44">
        <f t="shared" si="18"/>
        <v>115.26374167966721</v>
      </c>
      <c r="AL14" s="12" t="e">
        <f>AF14-#REF!</f>
        <v>#REF!</v>
      </c>
      <c r="AM14" s="12" t="e">
        <f>IF(#REF!=0,0,AF14/#REF!*100)</f>
        <v>#REF!</v>
      </c>
      <c r="AN14" s="44">
        <f t="shared" si="12"/>
        <v>1174087.0100000016</v>
      </c>
      <c r="AO14" s="44">
        <f t="shared" si="13"/>
        <v>115.26374167966719</v>
      </c>
      <c r="AP14" s="12">
        <f t="shared" si="14"/>
        <v>4942212.0000000019</v>
      </c>
      <c r="AQ14" s="44">
        <f t="shared" si="19"/>
        <v>225.95232996476108</v>
      </c>
      <c r="AR14" s="12">
        <f t="shared" si="20"/>
        <v>5299009.1500000022</v>
      </c>
      <c r="AS14" s="12">
        <f t="shared" si="21"/>
        <v>248.55322361816911</v>
      </c>
      <c r="AT14" s="34">
        <f>AF14</f>
        <v>8866087.0100000016</v>
      </c>
      <c r="AU14" s="86"/>
    </row>
    <row r="15" spans="1:47" s="10" customFormat="1" ht="99" hidden="1" customHeight="1" x14ac:dyDescent="0.3">
      <c r="A15" s="9"/>
      <c r="B15" s="120" t="s">
        <v>22</v>
      </c>
      <c r="C15" s="120"/>
      <c r="D15" s="120"/>
      <c r="E15" s="120"/>
      <c r="F15" s="120"/>
      <c r="G15" s="120"/>
      <c r="H15" s="120"/>
      <c r="I15" s="120"/>
      <c r="J15" s="12">
        <v>199821.72</v>
      </c>
      <c r="K15" s="12">
        <f t="shared" ref="K15" si="28">J15</f>
        <v>199821.72</v>
      </c>
      <c r="L15" s="12">
        <v>141824.35999999999</v>
      </c>
      <c r="M15" s="12">
        <f t="shared" ref="M15" si="29">L15</f>
        <v>141824.35999999999</v>
      </c>
      <c r="N15" s="12">
        <v>4514274.29</v>
      </c>
      <c r="O15" s="12">
        <v>6011745.4100000001</v>
      </c>
      <c r="P15" s="12">
        <f t="shared" si="26"/>
        <v>6011745.4100000001</v>
      </c>
      <c r="Q15" s="12">
        <v>6011745.4100000001</v>
      </c>
      <c r="R15" s="12">
        <f t="shared" ref="R15" si="30">Q15</f>
        <v>6011745.4100000001</v>
      </c>
      <c r="S15" s="12">
        <v>2368000</v>
      </c>
      <c r="T15" s="12">
        <v>2659940.33</v>
      </c>
      <c r="U15" s="12">
        <f t="shared" si="27"/>
        <v>2659940.33</v>
      </c>
      <c r="V15" s="12">
        <v>2255803</v>
      </c>
      <c r="W15" s="12"/>
      <c r="X15" s="12"/>
      <c r="Y15" s="12">
        <f t="shared" si="22"/>
        <v>2255803</v>
      </c>
      <c r="Z15" s="12">
        <v>8168000</v>
      </c>
      <c r="AA15" s="12">
        <v>6694000</v>
      </c>
      <c r="AB15" s="12">
        <v>6694000</v>
      </c>
      <c r="AC15" s="12">
        <v>63227.45</v>
      </c>
      <c r="AD15" s="12">
        <v>83699.850000000006</v>
      </c>
      <c r="AE15" s="12">
        <v>6567355.9399999995</v>
      </c>
      <c r="AF15" s="12">
        <f t="shared" si="23"/>
        <v>6651055.7899999991</v>
      </c>
      <c r="AG15" s="12">
        <f t="shared" si="10"/>
        <v>20472.400000000009</v>
      </c>
      <c r="AH15" s="44">
        <f t="shared" si="4"/>
        <v>-1516944.2100000009</v>
      </c>
      <c r="AI15" s="44">
        <f t="shared" si="5"/>
        <v>81.428205068560217</v>
      </c>
      <c r="AJ15" s="12">
        <f t="shared" si="11"/>
        <v>-42944.210000000894</v>
      </c>
      <c r="AK15" s="44">
        <f t="shared" si="18"/>
        <v>99.358467134747528</v>
      </c>
      <c r="AL15" s="12" t="e">
        <f>AF15-#REF!</f>
        <v>#REF!</v>
      </c>
      <c r="AM15" s="12" t="e">
        <f>IF(#REF!=0,0,AF15/#REF!*100)</f>
        <v>#REF!</v>
      </c>
      <c r="AN15" s="44">
        <f t="shared" si="12"/>
        <v>-42944.210000000894</v>
      </c>
      <c r="AO15" s="44">
        <f t="shared" si="13"/>
        <v>99.358467134747514</v>
      </c>
      <c r="AP15" s="12">
        <f t="shared" si="14"/>
        <v>4395252.7899999991</v>
      </c>
      <c r="AQ15" s="44">
        <f t="shared" si="19"/>
        <v>294.84204915056853</v>
      </c>
      <c r="AR15" s="12">
        <f t="shared" si="20"/>
        <v>6509231.4299999988</v>
      </c>
      <c r="AS15" s="12">
        <f t="shared" si="21"/>
        <v>4689.6427313333188</v>
      </c>
      <c r="AT15" s="34">
        <f>AF15</f>
        <v>6651055.7899999991</v>
      </c>
      <c r="AU15" s="86"/>
    </row>
    <row r="16" spans="1:47" s="10" customFormat="1" ht="65.25" hidden="1" customHeight="1" x14ac:dyDescent="0.3">
      <c r="A16" s="9"/>
      <c r="B16" s="120" t="s">
        <v>21</v>
      </c>
      <c r="C16" s="120"/>
      <c r="D16" s="120"/>
      <c r="E16" s="120"/>
      <c r="F16" s="120"/>
      <c r="G16" s="120"/>
      <c r="H16" s="120"/>
      <c r="I16" s="120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82548.45</v>
      </c>
      <c r="W16" s="12"/>
      <c r="X16" s="12"/>
      <c r="Y16" s="12">
        <f t="shared" si="22"/>
        <v>82548.45</v>
      </c>
      <c r="Z16" s="12">
        <v>15443000</v>
      </c>
      <c r="AA16" s="12">
        <v>14460000</v>
      </c>
      <c r="AB16" s="12">
        <v>1207880</v>
      </c>
      <c r="AC16" s="12">
        <v>29337.05</v>
      </c>
      <c r="AD16" s="12">
        <v>74500.84</v>
      </c>
      <c r="AE16" s="12">
        <v>1164423.0000000002</v>
      </c>
      <c r="AF16" s="12">
        <f t="shared" si="23"/>
        <v>1238923.8400000003</v>
      </c>
      <c r="AG16" s="12">
        <f t="shared" si="10"/>
        <v>45163.789999999994</v>
      </c>
      <c r="AH16" s="44">
        <f t="shared" si="4"/>
        <v>-14204076.16</v>
      </c>
      <c r="AI16" s="44">
        <f t="shared" si="5"/>
        <v>8.0225593472770864</v>
      </c>
      <c r="AJ16" s="12">
        <f t="shared" si="11"/>
        <v>-13221076.16</v>
      </c>
      <c r="AK16" s="44">
        <f t="shared" si="18"/>
        <v>8.5679380359612747</v>
      </c>
      <c r="AL16" s="12" t="e">
        <f>AF16-#REF!</f>
        <v>#REF!</v>
      </c>
      <c r="AM16" s="12" t="e">
        <f>IF(#REF!=0,0,AF16/#REF!*100)</f>
        <v>#REF!</v>
      </c>
      <c r="AN16" s="44">
        <f t="shared" si="12"/>
        <v>31043.840000000317</v>
      </c>
      <c r="AO16" s="44">
        <f t="shared" si="13"/>
        <v>102.57010961353778</v>
      </c>
      <c r="AP16" s="12">
        <f t="shared" si="14"/>
        <v>1156375.3900000004</v>
      </c>
      <c r="AQ16" s="44">
        <f t="shared" si="19"/>
        <v>1500.8444616464637</v>
      </c>
      <c r="AR16" s="12">
        <f t="shared" si="20"/>
        <v>78244.950000000419</v>
      </c>
      <c r="AS16" s="12">
        <f t="shared" si="21"/>
        <v>106.74130895927645</v>
      </c>
      <c r="AT16" s="34">
        <v>11117000</v>
      </c>
      <c r="AU16" s="86"/>
    </row>
    <row r="17" spans="1:47" s="10" customFormat="1" ht="24" hidden="1" customHeight="1" x14ac:dyDescent="0.3">
      <c r="A17" s="9"/>
      <c r="B17" s="120" t="s">
        <v>19</v>
      </c>
      <c r="C17" s="120"/>
      <c r="D17" s="120"/>
      <c r="E17" s="120"/>
      <c r="F17" s="120"/>
      <c r="G17" s="120"/>
      <c r="H17" s="120"/>
      <c r="I17" s="120"/>
      <c r="J17" s="12">
        <f t="shared" ref="J17:AF17" si="31">J18+J19</f>
        <v>59077329.089999996</v>
      </c>
      <c r="K17" s="12">
        <f t="shared" si="31"/>
        <v>59077329.089999996</v>
      </c>
      <c r="L17" s="12">
        <f t="shared" si="31"/>
        <v>13651268.75</v>
      </c>
      <c r="M17" s="12">
        <f t="shared" si="31"/>
        <v>13651268.75</v>
      </c>
      <c r="N17" s="12">
        <f t="shared" si="31"/>
        <v>57000020</v>
      </c>
      <c r="O17" s="12">
        <f t="shared" si="31"/>
        <v>59153838.839999996</v>
      </c>
      <c r="P17" s="12">
        <f t="shared" si="31"/>
        <v>59153838.839999996</v>
      </c>
      <c r="Q17" s="12">
        <v>59153838.839999996</v>
      </c>
      <c r="R17" s="12">
        <f t="shared" si="31"/>
        <v>59153838.839999996</v>
      </c>
      <c r="S17" s="12">
        <f t="shared" si="31"/>
        <v>54189000</v>
      </c>
      <c r="T17" s="12">
        <f t="shared" si="31"/>
        <v>55922478.88000001</v>
      </c>
      <c r="U17" s="12">
        <f t="shared" ref="U17:X17" si="32">U18+U19</f>
        <v>55922478.88000001</v>
      </c>
      <c r="V17" s="12">
        <f t="shared" si="32"/>
        <v>9158750.6199999992</v>
      </c>
      <c r="W17" s="12"/>
      <c r="X17" s="12">
        <f t="shared" si="32"/>
        <v>0</v>
      </c>
      <c r="Y17" s="12">
        <f>Y18+Y19</f>
        <v>9158750.6199999992</v>
      </c>
      <c r="Z17" s="12">
        <f t="shared" ref="Z17:AB17" si="33">Z18+Z19</f>
        <v>57489000</v>
      </c>
      <c r="AA17" s="12">
        <f t="shared" si="33"/>
        <v>56779000</v>
      </c>
      <c r="AB17" s="12">
        <f t="shared" si="33"/>
        <v>10240923</v>
      </c>
      <c r="AC17" s="12">
        <f t="shared" ref="AC17:AD17" si="34">AC18+AC19</f>
        <v>152632.65</v>
      </c>
      <c r="AD17" s="12">
        <f t="shared" si="34"/>
        <v>3169890.02</v>
      </c>
      <c r="AE17" s="12">
        <v>7555401.1099999985</v>
      </c>
      <c r="AF17" s="12">
        <f t="shared" si="31"/>
        <v>10725291.129999999</v>
      </c>
      <c r="AG17" s="12">
        <f t="shared" si="10"/>
        <v>3017257.37</v>
      </c>
      <c r="AH17" s="44">
        <f t="shared" si="4"/>
        <v>-46763708.870000005</v>
      </c>
      <c r="AI17" s="44">
        <f t="shared" si="5"/>
        <v>18.656249247682162</v>
      </c>
      <c r="AJ17" s="12">
        <f t="shared" si="11"/>
        <v>-46053708.870000005</v>
      </c>
      <c r="AK17" s="44">
        <f t="shared" si="18"/>
        <v>18.889538614628645</v>
      </c>
      <c r="AL17" s="12" t="e">
        <f>AF17-#REF!</f>
        <v>#REF!</v>
      </c>
      <c r="AM17" s="12" t="e">
        <f>IF(#REF!=0,0,AF17/#REF!*100)</f>
        <v>#REF!</v>
      </c>
      <c r="AN17" s="44">
        <f t="shared" si="12"/>
        <v>484368.12999999896</v>
      </c>
      <c r="AO17" s="44">
        <f t="shared" si="13"/>
        <v>104.72973119708055</v>
      </c>
      <c r="AP17" s="12">
        <f t="shared" si="14"/>
        <v>1566540.5099999998</v>
      </c>
      <c r="AQ17" s="44">
        <f t="shared" si="19"/>
        <v>117.10430357803541</v>
      </c>
      <c r="AR17" s="12">
        <f t="shared" si="20"/>
        <v>-2925977.620000001</v>
      </c>
      <c r="AS17" s="12">
        <f t="shared" si="21"/>
        <v>78.566258758915723</v>
      </c>
      <c r="AT17" s="34">
        <f>AT18+AT19</f>
        <v>10725291.129999999</v>
      </c>
      <c r="AU17" s="5"/>
    </row>
    <row r="18" spans="1:47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f>9194908.11-1299</f>
        <v>9193609.1099999994</v>
      </c>
      <c r="W18" s="53"/>
      <c r="X18" s="53"/>
      <c r="Y18" s="13">
        <f>V18</f>
        <v>9193609.1099999994</v>
      </c>
      <c r="Z18" s="66">
        <v>23363753.050000001</v>
      </c>
      <c r="AA18" s="66">
        <v>22995495</v>
      </c>
      <c r="AB18" s="16">
        <v>8455456</v>
      </c>
      <c r="AC18" s="13">
        <v>123150</v>
      </c>
      <c r="AD18" s="13">
        <v>3105902</v>
      </c>
      <c r="AE18" s="13">
        <v>5578135.9899999984</v>
      </c>
      <c r="AF18" s="13">
        <f t="shared" si="23"/>
        <v>8684037.9899999984</v>
      </c>
      <c r="AG18" s="13">
        <f t="shared" si="10"/>
        <v>2982752</v>
      </c>
      <c r="AH18" s="44">
        <f t="shared" si="4"/>
        <v>-14679715.060000002</v>
      </c>
      <c r="AI18" s="44">
        <f t="shared" si="5"/>
        <v>37.168848563908263</v>
      </c>
      <c r="AJ18" s="13">
        <f t="shared" si="11"/>
        <v>-14311457.010000002</v>
      </c>
      <c r="AK18" s="44">
        <f t="shared" si="18"/>
        <v>37.764083747707964</v>
      </c>
      <c r="AL18" s="13" t="e">
        <f>AF18-#REF!</f>
        <v>#REF!</v>
      </c>
      <c r="AM18" s="13" t="e">
        <f>IF(#REF!=0,0,AF18/#REF!*100)</f>
        <v>#REF!</v>
      </c>
      <c r="AN18" s="44">
        <f t="shared" si="12"/>
        <v>228581.98999999836</v>
      </c>
      <c r="AO18" s="44">
        <f t="shared" si="13"/>
        <v>102.7033667965394</v>
      </c>
      <c r="AP18" s="13">
        <f t="shared" si="14"/>
        <v>-509571.12000000104</v>
      </c>
      <c r="AQ18" s="44">
        <f t="shared" si="19"/>
        <v>94.457333198496187</v>
      </c>
      <c r="AR18" s="13">
        <f t="shared" si="20"/>
        <v>-1401578.5200000014</v>
      </c>
      <c r="AS18" s="13">
        <f t="shared" si="21"/>
        <v>86.103194399565751</v>
      </c>
      <c r="AT18" s="31">
        <f>AF18</f>
        <v>8684037.9899999984</v>
      </c>
      <c r="AU18" s="86"/>
    </row>
    <row r="19" spans="1:47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-34858.49</v>
      </c>
      <c r="W19" s="53"/>
      <c r="X19" s="53"/>
      <c r="Y19" s="13">
        <f>V19</f>
        <v>-34858.49</v>
      </c>
      <c r="Z19" s="66">
        <v>34125246.950000003</v>
      </c>
      <c r="AA19" s="66">
        <v>33783505</v>
      </c>
      <c r="AB19" s="16">
        <v>1785467</v>
      </c>
      <c r="AC19" s="13">
        <v>29482.65</v>
      </c>
      <c r="AD19" s="13">
        <v>63988.02</v>
      </c>
      <c r="AE19" s="13">
        <v>1977265.1199999999</v>
      </c>
      <c r="AF19" s="13">
        <f t="shared" si="23"/>
        <v>2041253.14</v>
      </c>
      <c r="AG19" s="13">
        <f t="shared" si="10"/>
        <v>34505.369999999995</v>
      </c>
      <c r="AH19" s="44">
        <f t="shared" si="4"/>
        <v>-32083993.810000002</v>
      </c>
      <c r="AI19" s="44">
        <f t="shared" si="5"/>
        <v>5.9816508961556387</v>
      </c>
      <c r="AJ19" s="13">
        <f t="shared" si="11"/>
        <v>-31742251.859999999</v>
      </c>
      <c r="AK19" s="44">
        <f t="shared" si="18"/>
        <v>6.042159154297341</v>
      </c>
      <c r="AL19" s="13" t="e">
        <f>AF19-#REF!</f>
        <v>#REF!</v>
      </c>
      <c r="AM19" s="13" t="e">
        <f>IF(#REF!=0,0,AF19/#REF!*100)</f>
        <v>#REF!</v>
      </c>
      <c r="AN19" s="44">
        <f t="shared" si="12"/>
        <v>255786.1399999999</v>
      </c>
      <c r="AO19" s="44">
        <f t="shared" si="13"/>
        <v>114.32600770554706</v>
      </c>
      <c r="AP19" s="13">
        <f t="shared" si="14"/>
        <v>2076111.63</v>
      </c>
      <c r="AQ19" s="44">
        <f t="shared" si="19"/>
        <v>-5855.8277768199368</v>
      </c>
      <c r="AR19" s="13">
        <f t="shared" si="20"/>
        <v>-1524399.1000000003</v>
      </c>
      <c r="AS19" s="13">
        <f t="shared" si="21"/>
        <v>57.247678758487112</v>
      </c>
      <c r="AT19" s="31">
        <f>AF19</f>
        <v>2041253.14</v>
      </c>
      <c r="AU19" s="86"/>
    </row>
    <row r="20" spans="1:47" s="10" customFormat="1" ht="30.75" hidden="1" customHeight="1" x14ac:dyDescent="0.3">
      <c r="A20" s="9"/>
      <c r="B20" s="120" t="s">
        <v>18</v>
      </c>
      <c r="C20" s="120"/>
      <c r="D20" s="120"/>
      <c r="E20" s="120"/>
      <c r="F20" s="120"/>
      <c r="G20" s="120"/>
      <c r="H20" s="120"/>
      <c r="I20" s="120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1921824.5</v>
      </c>
      <c r="W20" s="12"/>
      <c r="X20" s="12"/>
      <c r="Y20" s="12">
        <f>V20</f>
        <v>1921824.5</v>
      </c>
      <c r="Z20" s="12">
        <v>7706000</v>
      </c>
      <c r="AA20" s="12">
        <v>7743000</v>
      </c>
      <c r="AB20" s="12">
        <v>2877190</v>
      </c>
      <c r="AC20" s="12">
        <v>206963.99</v>
      </c>
      <c r="AD20" s="12">
        <v>63370.879999999997</v>
      </c>
      <c r="AE20" s="12">
        <v>2265136.23</v>
      </c>
      <c r="AF20" s="12">
        <f t="shared" si="23"/>
        <v>2328507.11</v>
      </c>
      <c r="AG20" s="12">
        <f t="shared" si="10"/>
        <v>-143593.10999999999</v>
      </c>
      <c r="AH20" s="44">
        <f t="shared" si="4"/>
        <v>-5377492.8900000006</v>
      </c>
      <c r="AI20" s="44">
        <f t="shared" si="5"/>
        <v>30.216806514404361</v>
      </c>
      <c r="AJ20" s="12">
        <f t="shared" si="11"/>
        <v>-5414492.8900000006</v>
      </c>
      <c r="AK20" s="44">
        <f t="shared" si="18"/>
        <v>30.072415213741444</v>
      </c>
      <c r="AL20" s="12" t="e">
        <f>AF20-#REF!</f>
        <v>#REF!</v>
      </c>
      <c r="AM20" s="12" t="e">
        <f>IF(#REF!=0,0,AF20/#REF!*100)</f>
        <v>#REF!</v>
      </c>
      <c r="AN20" s="44">
        <f t="shared" si="12"/>
        <v>-548682.89000000013</v>
      </c>
      <c r="AO20" s="44">
        <f t="shared" si="13"/>
        <v>80.929904177339694</v>
      </c>
      <c r="AP20" s="12">
        <f t="shared" si="14"/>
        <v>406682.60999999987</v>
      </c>
      <c r="AQ20" s="44">
        <f t="shared" ref="AQ20:AQ63" si="35">AF20/Y20%</f>
        <v>121.16127721339799</v>
      </c>
      <c r="AR20" s="12">
        <f t="shared" si="20"/>
        <v>-745512.35000000009</v>
      </c>
      <c r="AS20" s="12">
        <f t="shared" si="21"/>
        <v>75.747962571453598</v>
      </c>
      <c r="AT20" s="34">
        <f>AF20</f>
        <v>2328507.11</v>
      </c>
      <c r="AU20" s="86"/>
    </row>
    <row r="21" spans="1:47" s="10" customFormat="1" ht="62.25" hidden="1" customHeight="1" x14ac:dyDescent="0.3">
      <c r="A21" s="9"/>
      <c r="B21" s="121" t="s">
        <v>58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2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3"/>
        <v>0</v>
      </c>
      <c r="AG21" s="12">
        <v>0</v>
      </c>
      <c r="AH21" s="44">
        <f t="shared" si="4"/>
        <v>0</v>
      </c>
      <c r="AI21" s="44">
        <v>0</v>
      </c>
      <c r="AJ21" s="12">
        <f t="shared" si="11"/>
        <v>0</v>
      </c>
      <c r="AK21" s="44">
        <v>0</v>
      </c>
      <c r="AL21" s="12"/>
      <c r="AM21" s="12"/>
      <c r="AN21" s="44">
        <f t="shared" si="12"/>
        <v>0</v>
      </c>
      <c r="AO21" s="44">
        <v>0</v>
      </c>
      <c r="AP21" s="12">
        <f t="shared" si="14"/>
        <v>0</v>
      </c>
      <c r="AQ21" s="4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69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6">S23+S36+S37+S45+S48+S50</f>
        <v>86476358.480000004</v>
      </c>
      <c r="T22" s="71">
        <f t="shared" si="36"/>
        <v>93832615.929999977</v>
      </c>
      <c r="U22" s="71">
        <f>U23+U36+U37+U45+U48+U50</f>
        <v>91729067.069999978</v>
      </c>
      <c r="V22" s="71">
        <f>V23+V36+V37+V45+V48+V50</f>
        <v>33544045.640000001</v>
      </c>
      <c r="W22" s="71"/>
      <c r="X22" s="71">
        <f t="shared" ref="X22:AB22" si="37">X23+X36+X37+X45+X48+X50</f>
        <v>0</v>
      </c>
      <c r="Y22" s="71">
        <f t="shared" si="37"/>
        <v>33544045.640000001</v>
      </c>
      <c r="Z22" s="71">
        <f t="shared" si="37"/>
        <v>76980199.650000006</v>
      </c>
      <c r="AA22" s="71">
        <f t="shared" si="37"/>
        <v>84215232.859999999</v>
      </c>
      <c r="AB22" s="71">
        <f t="shared" si="37"/>
        <v>34305009.120000005</v>
      </c>
      <c r="AC22" s="71">
        <f t="shared" ref="AC22:AD22" si="38">AC23+AC36+AC37+AC45+AC48+AC50</f>
        <v>-2231070.0499999998</v>
      </c>
      <c r="AD22" s="71">
        <f t="shared" si="38"/>
        <v>834259.25</v>
      </c>
      <c r="AE22" s="71">
        <v>31511808.869999997</v>
      </c>
      <c r="AF22" s="71">
        <f>AF23+AF36+AF37+AF45+AF48+AF50</f>
        <v>32346068.119999994</v>
      </c>
      <c r="AG22" s="71">
        <f t="shared" ref="AG22" si="39">AD22-AC22</f>
        <v>3065329.3</v>
      </c>
      <c r="AH22" s="72">
        <f t="shared" si="4"/>
        <v>-44634131.530000016</v>
      </c>
      <c r="AI22" s="72">
        <f t="shared" ref="AI22" si="40">AF22/Z22*100</f>
        <v>42.018685671205567</v>
      </c>
      <c r="AJ22" s="71">
        <f t="shared" si="11"/>
        <v>-51869164.74000001</v>
      </c>
      <c r="AK22" s="72">
        <f t="shared" ref="AK22" si="41">AF22/AA22%</f>
        <v>38.408809215991042</v>
      </c>
      <c r="AL22" s="71" t="e">
        <f>AF22-#REF!</f>
        <v>#REF!</v>
      </c>
      <c r="AM22" s="71" t="e">
        <f>IF(#REF!=0,0,AF22/#REF!*100)</f>
        <v>#REF!</v>
      </c>
      <c r="AN22" s="72">
        <f t="shared" si="12"/>
        <v>-1958941.0000000112</v>
      </c>
      <c r="AO22" s="72">
        <f t="shared" ref="AO22" si="42">AF22/AB22*100</f>
        <v>94.289635682218957</v>
      </c>
      <c r="AP22" s="71">
        <f t="shared" si="14"/>
        <v>-1197977.520000007</v>
      </c>
      <c r="AQ22" s="72">
        <f t="shared" ref="AQ22" si="43">AF22/Y22%</f>
        <v>96.428643304218895</v>
      </c>
      <c r="AR22" s="12"/>
      <c r="AS22" s="12"/>
      <c r="AT22" s="34"/>
    </row>
    <row r="23" spans="1:47" s="10" customFormat="1" ht="83.25" hidden="1" customHeight="1" x14ac:dyDescent="0.3">
      <c r="A23" s="9"/>
      <c r="B23" s="120" t="s">
        <v>17</v>
      </c>
      <c r="C23" s="120"/>
      <c r="D23" s="120"/>
      <c r="E23" s="120"/>
      <c r="F23" s="120"/>
      <c r="G23" s="120"/>
      <c r="H23" s="120"/>
      <c r="I23" s="120"/>
      <c r="J23" s="60">
        <f t="shared" ref="J23:AF23" si="44">J24+J27+J29+J31</f>
        <v>39449619.330000006</v>
      </c>
      <c r="K23" s="60">
        <f t="shared" si="44"/>
        <v>39449619.330000006</v>
      </c>
      <c r="L23" s="60">
        <f t="shared" si="44"/>
        <v>10238465.989999998</v>
      </c>
      <c r="M23" s="60">
        <f t="shared" si="44"/>
        <v>10238465.989999998</v>
      </c>
      <c r="N23" s="12">
        <f t="shared" si="44"/>
        <v>42188190.339999996</v>
      </c>
      <c r="O23" s="12">
        <f t="shared" si="44"/>
        <v>49536681.379999995</v>
      </c>
      <c r="P23" s="12">
        <f t="shared" si="44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5">S24+S27+S29+S31</f>
        <v>42777461.119999997</v>
      </c>
      <c r="T23" s="12">
        <f t="shared" si="45"/>
        <v>47630236.639999993</v>
      </c>
      <c r="U23" s="12">
        <f>U24+U27+U29+U31</f>
        <v>46969616.779999994</v>
      </c>
      <c r="V23" s="12">
        <f t="shared" ref="V23:X23" si="46">V24+V27+V29+V31</f>
        <v>15016262.41</v>
      </c>
      <c r="W23" s="12"/>
      <c r="X23" s="12">
        <f t="shared" si="46"/>
        <v>0</v>
      </c>
      <c r="Y23" s="12">
        <f>Y24+Y27+Y29+Y31</f>
        <v>15016262.41</v>
      </c>
      <c r="Z23" s="12">
        <f t="shared" ref="Z23:AB23" si="47">Z24+Z27+Z29+Z31</f>
        <v>47029000</v>
      </c>
      <c r="AA23" s="12">
        <f t="shared" si="47"/>
        <v>49534190</v>
      </c>
      <c r="AB23" s="12">
        <f t="shared" si="47"/>
        <v>16443902.310000001</v>
      </c>
      <c r="AC23" s="12">
        <f>AC24+AC27+AC29+AC31</f>
        <v>730246.23</v>
      </c>
      <c r="AD23" s="12">
        <f>AD24+AD27+AD29+AD31</f>
        <v>279590.07</v>
      </c>
      <c r="AE23" s="12">
        <v>13979636.630000001</v>
      </c>
      <c r="AF23" s="12">
        <f t="shared" si="44"/>
        <v>14259226.699999999</v>
      </c>
      <c r="AG23" s="12">
        <f t="shared" si="10"/>
        <v>-450656.16</v>
      </c>
      <c r="AH23" s="44">
        <f t="shared" si="4"/>
        <v>-32769773.300000001</v>
      </c>
      <c r="AI23" s="44">
        <f t="shared" si="5"/>
        <v>30.320072083182716</v>
      </c>
      <c r="AJ23" s="12">
        <f t="shared" si="11"/>
        <v>-35274963.299999997</v>
      </c>
      <c r="AK23" s="44">
        <f t="shared" si="18"/>
        <v>28.786635453209186</v>
      </c>
      <c r="AL23" s="12" t="e">
        <f>AF23-#REF!</f>
        <v>#REF!</v>
      </c>
      <c r="AM23" s="12" t="e">
        <f>IF(#REF!=0,0,AF23/#REF!*100)</f>
        <v>#REF!</v>
      </c>
      <c r="AN23" s="44">
        <f t="shared" si="12"/>
        <v>-2184675.6100000013</v>
      </c>
      <c r="AO23" s="44">
        <f t="shared" si="13"/>
        <v>86.714372484009232</v>
      </c>
      <c r="AP23" s="12">
        <f t="shared" si="14"/>
        <v>-757035.71000000089</v>
      </c>
      <c r="AQ23" s="44">
        <f t="shared" si="35"/>
        <v>94.958560996537599</v>
      </c>
      <c r="AR23" s="12">
        <f>AF23-M23</f>
        <v>4020760.7100000009</v>
      </c>
      <c r="AS23" s="12">
        <f>IF(M23=0,0,AF23/M23*100)</f>
        <v>139.27112434545481</v>
      </c>
      <c r="AT23" s="34">
        <f>AT24+AT27+AT29+AT31</f>
        <v>13904957.629999999</v>
      </c>
    </row>
    <row r="24" spans="1:47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70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8">U25+U26</f>
        <v>44043460.589999996</v>
      </c>
      <c r="V24" s="12">
        <f>V25+V26</f>
        <v>14235759.77</v>
      </c>
      <c r="W24" s="13"/>
      <c r="X24" s="13">
        <f t="shared" si="48"/>
        <v>0</v>
      </c>
      <c r="Y24" s="12">
        <f t="shared" si="48"/>
        <v>14235759.77</v>
      </c>
      <c r="Z24" s="12">
        <f t="shared" si="48"/>
        <v>46880510</v>
      </c>
      <c r="AA24" s="12">
        <f>AA25+AA26</f>
        <v>48200367.740000002</v>
      </c>
      <c r="AB24" s="12">
        <f>AB25+AB26</f>
        <v>15639850</v>
      </c>
      <c r="AC24" s="12">
        <f>AC25+AC26</f>
        <v>690253.73</v>
      </c>
      <c r="AD24" s="12">
        <f>AD25+AD26</f>
        <v>258912.66999999998</v>
      </c>
      <c r="AE24" s="12">
        <v>13106423.859999999</v>
      </c>
      <c r="AF24" s="12">
        <f t="shared" ref="AF24" si="49">AF25+AF26</f>
        <v>13365336.529999999</v>
      </c>
      <c r="AG24" s="12">
        <f>AD24-AC24</f>
        <v>-431341.06</v>
      </c>
      <c r="AH24" s="44">
        <f t="shared" si="4"/>
        <v>-33515173.469999999</v>
      </c>
      <c r="AI24" s="44">
        <f t="shared" si="5"/>
        <v>28.509366749636467</v>
      </c>
      <c r="AJ24" s="12">
        <f t="shared" si="11"/>
        <v>-34835031.210000001</v>
      </c>
      <c r="AK24" s="44">
        <f t="shared" si="18"/>
        <v>27.728702407613618</v>
      </c>
      <c r="AL24" s="12" t="e">
        <f>AF24-#REF!</f>
        <v>#REF!</v>
      </c>
      <c r="AM24" s="12" t="e">
        <f>IF(#REF!=0,0,AF24/#REF!*100)</f>
        <v>#REF!</v>
      </c>
      <c r="AN24" s="44">
        <f t="shared" si="12"/>
        <v>-2274513.4700000007</v>
      </c>
      <c r="AO24" s="44">
        <f t="shared" si="13"/>
        <v>85.456935520481323</v>
      </c>
      <c r="AP24" s="12">
        <f t="shared" si="14"/>
        <v>-870423.24000000022</v>
      </c>
      <c r="AQ24" s="44">
        <f t="shared" si="35"/>
        <v>93.885656585507277</v>
      </c>
      <c r="AR24" s="12">
        <f>AF24-M24</f>
        <v>3497191.92</v>
      </c>
      <c r="AS24" s="12">
        <f>IF(M24=0,0,AF24/M24*100)</f>
        <v>135.43920420922976</v>
      </c>
      <c r="AT24" s="31">
        <f>AF24</f>
        <v>13365336.529999999</v>
      </c>
    </row>
    <row r="25" spans="1:47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71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10444935.35</v>
      </c>
      <c r="W25" s="13"/>
      <c r="X25" s="13"/>
      <c r="Y25" s="13">
        <f>V25</f>
        <v>10444935.35</v>
      </c>
      <c r="Z25" s="13">
        <v>34696660</v>
      </c>
      <c r="AA25" s="13">
        <v>36508280</v>
      </c>
      <c r="AB25" s="13">
        <v>11694800</v>
      </c>
      <c r="AC25" s="13">
        <v>131399.9</v>
      </c>
      <c r="AD25" s="13">
        <v>126769.87</v>
      </c>
      <c r="AE25" s="13">
        <v>9514718.5600000005</v>
      </c>
      <c r="AF25" s="13">
        <f t="shared" si="23"/>
        <v>9641488.4299999997</v>
      </c>
      <c r="AG25" s="13">
        <f>AD25-AC25</f>
        <v>-4630.0299999999988</v>
      </c>
      <c r="AH25" s="44">
        <f t="shared" si="4"/>
        <v>-25055171.57</v>
      </c>
      <c r="AI25" s="44">
        <f t="shared" si="5"/>
        <v>27.787943940425393</v>
      </c>
      <c r="AJ25" s="13">
        <f t="shared" si="11"/>
        <v>-26866791.57</v>
      </c>
      <c r="AK25" s="42">
        <f t="shared" si="18"/>
        <v>26.40904592054186</v>
      </c>
      <c r="AL25" s="13"/>
      <c r="AM25" s="13"/>
      <c r="AN25" s="42">
        <f t="shared" si="12"/>
        <v>-2053311.5700000003</v>
      </c>
      <c r="AO25" s="42">
        <f t="shared" si="13"/>
        <v>82.442525139378191</v>
      </c>
      <c r="AP25" s="13">
        <f t="shared" si="14"/>
        <v>-803446.91999999993</v>
      </c>
      <c r="AQ25" s="42">
        <f t="shared" si="35"/>
        <v>92.307784652779105</v>
      </c>
      <c r="AR25" s="12"/>
      <c r="AS25" s="12"/>
      <c r="AT25" s="31"/>
    </row>
    <row r="26" spans="1:47" s="5" customFormat="1" ht="81.7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84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f>2624176+1166648.42</f>
        <v>3790824.42</v>
      </c>
      <c r="W26" s="16"/>
      <c r="X26" s="16"/>
      <c r="Y26" s="13">
        <f>V26</f>
        <v>3790824.42</v>
      </c>
      <c r="Z26" s="13">
        <v>12183850</v>
      </c>
      <c r="AA26" s="13">
        <f>6966987.74+4725100</f>
        <v>11692087.74</v>
      </c>
      <c r="AB26" s="13">
        <f>2279850+1665200</f>
        <v>3945050</v>
      </c>
      <c r="AC26" s="13">
        <v>558853.82999999996</v>
      </c>
      <c r="AD26" s="13">
        <v>132142.79999999999</v>
      </c>
      <c r="AE26" s="13">
        <v>3591705.3</v>
      </c>
      <c r="AF26" s="13">
        <f t="shared" si="23"/>
        <v>3723848.0999999996</v>
      </c>
      <c r="AG26" s="13">
        <f>AD26-AC26</f>
        <v>-426711.02999999997</v>
      </c>
      <c r="AH26" s="44">
        <f t="shared" si="4"/>
        <v>-8460001.9000000004</v>
      </c>
      <c r="AI26" s="44">
        <f t="shared" si="5"/>
        <v>30.563804544540517</v>
      </c>
      <c r="AJ26" s="12">
        <f t="shared" si="11"/>
        <v>-7968239.6400000006</v>
      </c>
      <c r="AK26" s="42">
        <f t="shared" si="18"/>
        <v>31.849299995075128</v>
      </c>
      <c r="AL26" s="13"/>
      <c r="AM26" s="13"/>
      <c r="AN26" s="42">
        <f t="shared" si="12"/>
        <v>-221201.90000000037</v>
      </c>
      <c r="AO26" s="42">
        <f t="shared" si="13"/>
        <v>94.392925311466257</v>
      </c>
      <c r="AP26" s="13">
        <f t="shared" si="14"/>
        <v>-66976.320000000298</v>
      </c>
      <c r="AQ26" s="42">
        <f t="shared" si="35"/>
        <v>98.233199099208065</v>
      </c>
      <c r="AR26" s="12"/>
      <c r="AS26" s="12"/>
      <c r="AT26" s="31"/>
      <c r="AU26" s="107" t="s">
        <v>96</v>
      </c>
    </row>
    <row r="27" spans="1:47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72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50">S28</f>
        <v>989651.62</v>
      </c>
      <c r="T27" s="12">
        <f t="shared" si="50"/>
        <v>1733380.9700000002</v>
      </c>
      <c r="U27" s="13">
        <f t="shared" ref="U27:AB27" si="51">U28</f>
        <v>1733380.9700000002</v>
      </c>
      <c r="V27" s="12">
        <f t="shared" si="51"/>
        <v>474270.98</v>
      </c>
      <c r="W27" s="13"/>
      <c r="X27" s="13"/>
      <c r="Y27" s="12">
        <f t="shared" si="51"/>
        <v>474270.98</v>
      </c>
      <c r="Z27" s="12">
        <f t="shared" si="51"/>
        <v>100490</v>
      </c>
      <c r="AA27" s="12">
        <f t="shared" si="51"/>
        <v>549832.26</v>
      </c>
      <c r="AB27" s="12">
        <f t="shared" si="51"/>
        <v>397906.50999999995</v>
      </c>
      <c r="AC27" s="12">
        <f>AC28</f>
        <v>22468.07</v>
      </c>
      <c r="AD27" s="12">
        <f>AD28</f>
        <v>20677.400000000001</v>
      </c>
      <c r="AE27" s="12">
        <v>488636.3</v>
      </c>
      <c r="AF27" s="12">
        <f t="shared" ref="AF27" si="52">AF28</f>
        <v>509313.7</v>
      </c>
      <c r="AG27" s="12">
        <f t="shared" si="10"/>
        <v>-1790.6699999999983</v>
      </c>
      <c r="AH27" s="44">
        <f t="shared" si="4"/>
        <v>408823.7</v>
      </c>
      <c r="AI27" s="44">
        <f t="shared" si="5"/>
        <v>506.83023186386703</v>
      </c>
      <c r="AJ27" s="12">
        <f t="shared" si="11"/>
        <v>-40518.559999999998</v>
      </c>
      <c r="AK27" s="44">
        <f t="shared" si="18"/>
        <v>92.630741601083926</v>
      </c>
      <c r="AL27" s="12" t="e">
        <f>AF27-#REF!</f>
        <v>#REF!</v>
      </c>
      <c r="AM27" s="12" t="e">
        <f>IF(#REF!=0,0,AF27/#REF!*100)</f>
        <v>#REF!</v>
      </c>
      <c r="AN27" s="44">
        <f t="shared" si="12"/>
        <v>111407.19000000006</v>
      </c>
      <c r="AO27" s="44">
        <f t="shared" si="13"/>
        <v>127.99833307577704</v>
      </c>
      <c r="AP27" s="12">
        <f t="shared" si="14"/>
        <v>35042.72000000003</v>
      </c>
      <c r="AQ27" s="44">
        <f t="shared" si="35"/>
        <v>107.38875484222122</v>
      </c>
      <c r="AR27" s="12">
        <f>AF27-M27</f>
        <v>175587.86</v>
      </c>
      <c r="AS27" s="12">
        <f>IF(M27=0,0,AF27/M27*100)</f>
        <v>152.61440348760527</v>
      </c>
      <c r="AT27" s="31">
        <f>AF27</f>
        <v>509313.7</v>
      </c>
    </row>
    <row r="28" spans="1:47" s="5" customFormat="1" ht="10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85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f>129488.99+344781.99</f>
        <v>474270.98</v>
      </c>
      <c r="W28" s="16"/>
      <c r="X28" s="16"/>
      <c r="Y28" s="16">
        <f>V28</f>
        <v>474270.98</v>
      </c>
      <c r="Z28" s="16">
        <v>100490</v>
      </c>
      <c r="AA28" s="16">
        <f>109952.06+439880.2</f>
        <v>549832.26</v>
      </c>
      <c r="AB28" s="16">
        <f>84923.79+312982.72</f>
        <v>397906.50999999995</v>
      </c>
      <c r="AC28" s="13">
        <v>22468.07</v>
      </c>
      <c r="AD28" s="13">
        <v>20677.400000000001</v>
      </c>
      <c r="AE28" s="13">
        <v>488636.3</v>
      </c>
      <c r="AF28" s="13">
        <f t="shared" si="23"/>
        <v>509313.7</v>
      </c>
      <c r="AG28" s="13">
        <f>AD28-AC28</f>
        <v>-1790.6699999999983</v>
      </c>
      <c r="AH28" s="44">
        <f t="shared" si="4"/>
        <v>408823.7</v>
      </c>
      <c r="AI28" s="44">
        <f t="shared" si="5"/>
        <v>506.83023186386703</v>
      </c>
      <c r="AJ28" s="13">
        <f t="shared" si="11"/>
        <v>-40518.559999999998</v>
      </c>
      <c r="AK28" s="42">
        <f t="shared" si="18"/>
        <v>92.630741601083926</v>
      </c>
      <c r="AL28" s="16"/>
      <c r="AM28" s="16"/>
      <c r="AN28" s="42">
        <f t="shared" si="12"/>
        <v>111407.19000000006</v>
      </c>
      <c r="AO28" s="42">
        <f t="shared" si="13"/>
        <v>127.99833307577704</v>
      </c>
      <c r="AP28" s="13">
        <f t="shared" si="14"/>
        <v>35042.72000000003</v>
      </c>
      <c r="AQ28" s="42">
        <f t="shared" si="35"/>
        <v>107.38875484222122</v>
      </c>
      <c r="AR28" s="12"/>
      <c r="AS28" s="12"/>
      <c r="AT28" s="31"/>
      <c r="AU28" s="102"/>
    </row>
    <row r="29" spans="1:47" s="10" customFormat="1" ht="48" hidden="1" customHeight="1" x14ac:dyDescent="0.3">
      <c r="A29" s="9"/>
      <c r="B29" s="123" t="s">
        <v>16</v>
      </c>
      <c r="C29" s="123"/>
      <c r="D29" s="123"/>
      <c r="E29" s="123"/>
      <c r="F29" s="123"/>
      <c r="G29" s="123"/>
      <c r="H29" s="123"/>
      <c r="I29" s="123"/>
      <c r="J29" s="12">
        <f t="shared" ref="J29:AB29" si="53">J30</f>
        <v>13500</v>
      </c>
      <c r="K29" s="12">
        <f t="shared" si="53"/>
        <v>13500</v>
      </c>
      <c r="L29" s="12">
        <f t="shared" si="53"/>
        <v>13500</v>
      </c>
      <c r="M29" s="12">
        <f t="shared" si="53"/>
        <v>13500</v>
      </c>
      <c r="N29" s="12">
        <f t="shared" si="53"/>
        <v>145882.54999999999</v>
      </c>
      <c r="O29" s="12">
        <f t="shared" si="53"/>
        <v>145882.54999999999</v>
      </c>
      <c r="P29" s="12">
        <f t="shared" si="53"/>
        <v>145882.54999999999</v>
      </c>
      <c r="Q29" s="12">
        <v>145882.54999999999</v>
      </c>
      <c r="R29" s="12">
        <f t="shared" si="53"/>
        <v>145882.54999999999</v>
      </c>
      <c r="S29" s="12">
        <f t="shared" si="53"/>
        <v>65907.5</v>
      </c>
      <c r="T29" s="12">
        <f t="shared" si="53"/>
        <v>65907.5</v>
      </c>
      <c r="U29" s="12">
        <f>U30</f>
        <v>65907.5</v>
      </c>
      <c r="V29" s="12">
        <f t="shared" ref="V29:X29" si="54">V30</f>
        <v>65907.5</v>
      </c>
      <c r="W29" s="12"/>
      <c r="X29" s="12">
        <f t="shared" si="54"/>
        <v>0</v>
      </c>
      <c r="Y29" s="12">
        <f>Y30</f>
        <v>65907.5</v>
      </c>
      <c r="Z29" s="12">
        <f t="shared" si="53"/>
        <v>0</v>
      </c>
      <c r="AA29" s="12">
        <f t="shared" si="53"/>
        <v>60000</v>
      </c>
      <c r="AB29" s="12">
        <f t="shared" si="53"/>
        <v>60000</v>
      </c>
      <c r="AC29" s="12">
        <f>AC30</f>
        <v>0</v>
      </c>
      <c r="AD29" s="12">
        <f>AD30</f>
        <v>0</v>
      </c>
      <c r="AE29" s="12">
        <v>30307.4</v>
      </c>
      <c r="AF29" s="12">
        <f>AF30</f>
        <v>30307.4</v>
      </c>
      <c r="AG29" s="12">
        <f t="shared" si="10"/>
        <v>0</v>
      </c>
      <c r="AH29" s="44">
        <f t="shared" si="4"/>
        <v>30307.4</v>
      </c>
      <c r="AI29" s="44">
        <v>0</v>
      </c>
      <c r="AJ29" s="12">
        <f t="shared" si="11"/>
        <v>-29692.6</v>
      </c>
      <c r="AK29" s="44">
        <f t="shared" si="18"/>
        <v>50.512333333333338</v>
      </c>
      <c r="AL29" s="12" t="e">
        <f>AF29-#REF!</f>
        <v>#REF!</v>
      </c>
      <c r="AM29" s="12" t="e">
        <f>IF(#REF!=0,0,AF29/#REF!*100)</f>
        <v>#REF!</v>
      </c>
      <c r="AN29" s="44">
        <f t="shared" si="12"/>
        <v>-29692.6</v>
      </c>
      <c r="AO29" s="44">
        <f t="shared" si="13"/>
        <v>50.512333333333338</v>
      </c>
      <c r="AP29" s="12">
        <f t="shared" si="14"/>
        <v>-35600.1</v>
      </c>
      <c r="AQ29" s="44">
        <f t="shared" si="35"/>
        <v>45.984751356067214</v>
      </c>
      <c r="AR29" s="12">
        <f t="shared" ref="AR29:AR38" si="55">AF29-M29</f>
        <v>16807.400000000001</v>
      </c>
      <c r="AS29" s="12">
        <f t="shared" ref="AS29:AS38" si="56">IF(M29=0,0,AF29/M29*100)</f>
        <v>224.49925925925928</v>
      </c>
      <c r="AT29" s="34">
        <f t="shared" ref="AT29" si="57">AT30</f>
        <v>30307.4</v>
      </c>
    </row>
    <row r="30" spans="1:47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65907.5</v>
      </c>
      <c r="W30" s="13"/>
      <c r="X30" s="13"/>
      <c r="Y30" s="13">
        <f>V30</f>
        <v>65907.5</v>
      </c>
      <c r="Z30" s="13">
        <v>0</v>
      </c>
      <c r="AA30" s="13">
        <v>60000</v>
      </c>
      <c r="AB30" s="13">
        <v>60000</v>
      </c>
      <c r="AC30" s="13">
        <v>0</v>
      </c>
      <c r="AD30" s="13">
        <v>0</v>
      </c>
      <c r="AE30" s="13">
        <v>30307.4</v>
      </c>
      <c r="AF30" s="13">
        <f t="shared" si="23"/>
        <v>30307.4</v>
      </c>
      <c r="AG30" s="13">
        <f t="shared" si="10"/>
        <v>0</v>
      </c>
      <c r="AH30" s="44">
        <f t="shared" si="4"/>
        <v>30307.4</v>
      </c>
      <c r="AI30" s="44">
        <v>0</v>
      </c>
      <c r="AJ30" s="13">
        <f t="shared" si="11"/>
        <v>-29692.6</v>
      </c>
      <c r="AK30" s="42">
        <f t="shared" si="18"/>
        <v>50.512333333333338</v>
      </c>
      <c r="AL30" s="13" t="e">
        <f>AF30-#REF!</f>
        <v>#REF!</v>
      </c>
      <c r="AM30" s="13" t="e">
        <f>IF(#REF!=0,0,AF30/#REF!*100)</f>
        <v>#REF!</v>
      </c>
      <c r="AN30" s="42">
        <f t="shared" si="12"/>
        <v>-29692.6</v>
      </c>
      <c r="AO30" s="42">
        <f t="shared" si="13"/>
        <v>50.512333333333338</v>
      </c>
      <c r="AP30" s="13">
        <f t="shared" si="14"/>
        <v>-35600.1</v>
      </c>
      <c r="AQ30" s="42">
        <f t="shared" si="35"/>
        <v>45.984751356067214</v>
      </c>
      <c r="AR30" s="12">
        <f t="shared" si="55"/>
        <v>16807.400000000001</v>
      </c>
      <c r="AS30" s="12">
        <f t="shared" si="56"/>
        <v>224.49925925925928</v>
      </c>
      <c r="AT30" s="31">
        <f>AF30</f>
        <v>30307.4</v>
      </c>
    </row>
    <row r="31" spans="1:47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77</v>
      </c>
      <c r="J31" s="12">
        <f t="shared" ref="J31:R31" si="58">J35</f>
        <v>59624.2</v>
      </c>
      <c r="K31" s="12">
        <f t="shared" si="58"/>
        <v>59624.2</v>
      </c>
      <c r="L31" s="12">
        <f t="shared" si="58"/>
        <v>23095.54</v>
      </c>
      <c r="M31" s="12">
        <f t="shared" si="58"/>
        <v>23095.54</v>
      </c>
      <c r="N31" s="12">
        <f t="shared" si="58"/>
        <v>33317.79</v>
      </c>
      <c r="O31" s="12">
        <f t="shared" si="58"/>
        <v>67233.87</v>
      </c>
      <c r="P31" s="12">
        <f t="shared" si="58"/>
        <v>67233.87</v>
      </c>
      <c r="Q31" s="12">
        <v>67233.87</v>
      </c>
      <c r="R31" s="12">
        <f t="shared" si="58"/>
        <v>67233.87</v>
      </c>
      <c r="S31" s="12">
        <f t="shared" ref="S31:T31" si="59">S32+S33+S34+S35</f>
        <v>1027310</v>
      </c>
      <c r="T31" s="12">
        <f t="shared" si="59"/>
        <v>1126867.72</v>
      </c>
      <c r="U31" s="12">
        <f>U32+U33+U34+U35</f>
        <v>1126867.72</v>
      </c>
      <c r="V31" s="12">
        <f t="shared" ref="V31:Y31" si="60">V32+V33+V34+V35</f>
        <v>240324.16</v>
      </c>
      <c r="W31" s="12">
        <f t="shared" si="60"/>
        <v>0</v>
      </c>
      <c r="X31" s="12">
        <f t="shared" si="60"/>
        <v>0</v>
      </c>
      <c r="Y31" s="12">
        <f t="shared" si="60"/>
        <v>240324.16</v>
      </c>
      <c r="Z31" s="12">
        <f>Z32+Z33+Z34+Z35</f>
        <v>48000</v>
      </c>
      <c r="AA31" s="12">
        <f t="shared" ref="AA31" si="61">AA32+AA33+AA34+AA35</f>
        <v>723990</v>
      </c>
      <c r="AB31" s="12">
        <f t="shared" ref="AB31" si="62">AB32+AB33+AB34+AB35</f>
        <v>346145.8</v>
      </c>
      <c r="AC31" s="12">
        <f t="shared" ref="AC31:AD31" si="63">AC32+AC33+AC34+AC35</f>
        <v>17524.43</v>
      </c>
      <c r="AD31" s="12">
        <f t="shared" si="63"/>
        <v>0</v>
      </c>
      <c r="AE31" s="12">
        <v>354269.07000000007</v>
      </c>
      <c r="AF31" s="12">
        <f t="shared" ref="AF31" si="64">AF32+AF33+AF34+AF35</f>
        <v>354269.07000000007</v>
      </c>
      <c r="AG31" s="12">
        <f t="shared" si="10"/>
        <v>-17524.43</v>
      </c>
      <c r="AH31" s="44">
        <f t="shared" si="4"/>
        <v>306269.07000000007</v>
      </c>
      <c r="AI31" s="44">
        <v>0</v>
      </c>
      <c r="AJ31" s="12">
        <f t="shared" si="11"/>
        <v>-369720.92999999993</v>
      </c>
      <c r="AK31" s="44">
        <f t="shared" si="18"/>
        <v>48.932867857290859</v>
      </c>
      <c r="AL31" s="12" t="e">
        <f>AF31-#REF!</f>
        <v>#REF!</v>
      </c>
      <c r="AM31" s="12" t="e">
        <f>IF(#REF!=0,0,AF31/#REF!*100)</f>
        <v>#REF!</v>
      </c>
      <c r="AN31" s="44">
        <f t="shared" si="12"/>
        <v>8123.2700000000768</v>
      </c>
      <c r="AO31" s="44">
        <f t="shared" si="13"/>
        <v>102.34677699397193</v>
      </c>
      <c r="AP31" s="12">
        <f t="shared" si="14"/>
        <v>113944.91000000006</v>
      </c>
      <c r="AQ31" s="44">
        <f t="shared" si="35"/>
        <v>147.4130066656636</v>
      </c>
      <c r="AR31" s="12">
        <f t="shared" si="55"/>
        <v>331173.53000000009</v>
      </c>
      <c r="AS31" s="12">
        <f t="shared" si="56"/>
        <v>1533.9284987491094</v>
      </c>
      <c r="AT31" s="34">
        <f t="shared" ref="AT31" si="65">AT35</f>
        <v>0</v>
      </c>
    </row>
    <row r="32" spans="1:47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12" t="s">
        <v>86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212936.74</v>
      </c>
      <c r="W32" s="13"/>
      <c r="X32" s="13"/>
      <c r="Y32" s="13">
        <f>V32</f>
        <v>212936.74</v>
      </c>
      <c r="Z32" s="13"/>
      <c r="AA32" s="13">
        <v>649240</v>
      </c>
      <c r="AB32" s="13">
        <v>312000</v>
      </c>
      <c r="AC32" s="113">
        <v>17524.43</v>
      </c>
      <c r="AD32" s="113">
        <v>0</v>
      </c>
      <c r="AE32" s="13">
        <v>296800.11000000004</v>
      </c>
      <c r="AF32" s="13">
        <f t="shared" si="23"/>
        <v>296800.11000000004</v>
      </c>
      <c r="AG32" s="13">
        <f t="shared" si="10"/>
        <v>-17524.43</v>
      </c>
      <c r="AH32" s="44"/>
      <c r="AI32" s="44"/>
      <c r="AJ32" s="13">
        <f t="shared" si="11"/>
        <v>-352439.88999999996</v>
      </c>
      <c r="AK32" s="42">
        <f t="shared" si="18"/>
        <v>45.715006777154834</v>
      </c>
      <c r="AL32" s="12"/>
      <c r="AM32" s="12"/>
      <c r="AN32" s="42">
        <f t="shared" si="12"/>
        <v>-15199.889999999956</v>
      </c>
      <c r="AO32" s="42">
        <f t="shared" si="13"/>
        <v>95.12824038461541</v>
      </c>
      <c r="AP32" s="13">
        <f t="shared" si="14"/>
        <v>83863.370000000054</v>
      </c>
      <c r="AQ32" s="42">
        <f t="shared" si="35"/>
        <v>139.38417109231597</v>
      </c>
      <c r="AR32" s="12"/>
      <c r="AS32" s="12"/>
      <c r="AT32" s="34"/>
    </row>
    <row r="33" spans="1:47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87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8001.22</v>
      </c>
      <c r="W33" s="13"/>
      <c r="X33" s="13"/>
      <c r="Y33" s="13">
        <f t="shared" ref="Y33:Y35" si="66">V33</f>
        <v>8001.22</v>
      </c>
      <c r="Z33" s="13"/>
      <c r="AA33" s="13">
        <v>74750</v>
      </c>
      <c r="AB33" s="13">
        <v>0</v>
      </c>
      <c r="AC33" s="113">
        <v>0</v>
      </c>
      <c r="AD33" s="113">
        <v>0</v>
      </c>
      <c r="AE33" s="13">
        <v>35659.960000000006</v>
      </c>
      <c r="AF33" s="13">
        <f t="shared" si="23"/>
        <v>35659.960000000006</v>
      </c>
      <c r="AG33" s="13">
        <f t="shared" si="10"/>
        <v>0</v>
      </c>
      <c r="AH33" s="44"/>
      <c r="AI33" s="44"/>
      <c r="AJ33" s="13">
        <f t="shared" si="11"/>
        <v>-39090.039999999994</v>
      </c>
      <c r="AK33" s="42">
        <f t="shared" si="18"/>
        <v>47.705632107023419</v>
      </c>
      <c r="AL33" s="12"/>
      <c r="AM33" s="12"/>
      <c r="AN33" s="42">
        <f t="shared" si="12"/>
        <v>35659.960000000006</v>
      </c>
      <c r="AO33" s="42">
        <v>0</v>
      </c>
      <c r="AP33" s="13">
        <f t="shared" si="14"/>
        <v>27658.740000000005</v>
      </c>
      <c r="AQ33" s="42">
        <f t="shared" si="35"/>
        <v>445.68153356613118</v>
      </c>
      <c r="AR33" s="12"/>
      <c r="AS33" s="12"/>
      <c r="AT33" s="34"/>
    </row>
    <row r="34" spans="1:47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88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0</v>
      </c>
      <c r="W34" s="13"/>
      <c r="X34" s="13"/>
      <c r="Y34" s="13">
        <f t="shared" si="66"/>
        <v>0</v>
      </c>
      <c r="Z34" s="13"/>
      <c r="AA34" s="13">
        <v>0</v>
      </c>
      <c r="AB34" s="13">
        <v>34145.800000000003</v>
      </c>
      <c r="AC34" s="113">
        <v>0</v>
      </c>
      <c r="AD34" s="113">
        <v>0</v>
      </c>
      <c r="AE34" s="13">
        <v>21809</v>
      </c>
      <c r="AF34" s="13">
        <f t="shared" si="23"/>
        <v>21809</v>
      </c>
      <c r="AG34" s="13">
        <f t="shared" si="10"/>
        <v>0</v>
      </c>
      <c r="AH34" s="44"/>
      <c r="AI34" s="44"/>
      <c r="AJ34" s="13">
        <f t="shared" si="11"/>
        <v>21809</v>
      </c>
      <c r="AK34" s="116">
        <v>0</v>
      </c>
      <c r="AL34" s="12"/>
      <c r="AM34" s="12"/>
      <c r="AN34" s="42">
        <f t="shared" si="12"/>
        <v>-12336.800000000003</v>
      </c>
      <c r="AO34" s="42">
        <f t="shared" si="13"/>
        <v>63.870227085029484</v>
      </c>
      <c r="AP34" s="13">
        <f t="shared" si="14"/>
        <v>21809</v>
      </c>
      <c r="AQ34" s="116" t="s">
        <v>107</v>
      </c>
      <c r="AR34" s="12"/>
      <c r="AS34" s="12"/>
      <c r="AT34" s="34"/>
    </row>
    <row r="35" spans="1:47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89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19386.2</v>
      </c>
      <c r="W35" s="13"/>
      <c r="X35" s="13"/>
      <c r="Y35" s="13">
        <f t="shared" si="66"/>
        <v>19386.2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3"/>
        <v>0</v>
      </c>
      <c r="AG35" s="13">
        <f t="shared" si="10"/>
        <v>0</v>
      </c>
      <c r="AH35" s="44">
        <f t="shared" si="4"/>
        <v>-48000</v>
      </c>
      <c r="AI35" s="44">
        <v>0</v>
      </c>
      <c r="AJ35" s="13">
        <f t="shared" si="11"/>
        <v>0</v>
      </c>
      <c r="AK35" s="116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2"/>
        <v>0</v>
      </c>
      <c r="AO35" s="116">
        <v>0</v>
      </c>
      <c r="AP35" s="13">
        <f t="shared" si="14"/>
        <v>-19386.2</v>
      </c>
      <c r="AQ35" s="42">
        <f t="shared" si="35"/>
        <v>0</v>
      </c>
      <c r="AR35" s="12">
        <f t="shared" si="55"/>
        <v>-23095.54</v>
      </c>
      <c r="AS35" s="12">
        <f t="shared" si="56"/>
        <v>0</v>
      </c>
      <c r="AT35" s="31">
        <f>AF35</f>
        <v>0</v>
      </c>
    </row>
    <row r="36" spans="1:47" s="10" customFormat="1" ht="40.5" hidden="1" customHeight="1" x14ac:dyDescent="0.3">
      <c r="A36" s="9"/>
      <c r="B36" s="120" t="s">
        <v>14</v>
      </c>
      <c r="C36" s="120"/>
      <c r="D36" s="120"/>
      <c r="E36" s="120"/>
      <c r="F36" s="120"/>
      <c r="G36" s="120"/>
      <c r="H36" s="120"/>
      <c r="I36" s="120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363111.7</v>
      </c>
      <c r="W36" s="12"/>
      <c r="X36" s="12"/>
      <c r="Y36" s="12">
        <f>V36</f>
        <v>363111.7</v>
      </c>
      <c r="Z36" s="12">
        <v>763440</v>
      </c>
      <c r="AA36" s="12">
        <v>447000</v>
      </c>
      <c r="AB36" s="12">
        <v>374127</v>
      </c>
      <c r="AC36" s="12">
        <v>16409.97</v>
      </c>
      <c r="AD36" s="12">
        <v>2256.89</v>
      </c>
      <c r="AE36" s="12">
        <v>974502.86999999988</v>
      </c>
      <c r="AF36" s="12">
        <f t="shared" si="23"/>
        <v>976759.75999999989</v>
      </c>
      <c r="AG36" s="12">
        <f t="shared" si="10"/>
        <v>-14153.080000000002</v>
      </c>
      <c r="AH36" s="44">
        <f t="shared" si="4"/>
        <v>213319.75999999989</v>
      </c>
      <c r="AI36" s="44">
        <v>0</v>
      </c>
      <c r="AJ36" s="12">
        <f t="shared" si="11"/>
        <v>529759.75999999989</v>
      </c>
      <c r="AK36" s="44">
        <f t="shared" si="18"/>
        <v>218.51448769574941</v>
      </c>
      <c r="AL36" s="12" t="e">
        <f>AF36-#REF!</f>
        <v>#REF!</v>
      </c>
      <c r="AM36" s="12" t="e">
        <f>IF(#REF!=0,0,AF36/#REF!*100)</f>
        <v>#REF!</v>
      </c>
      <c r="AN36" s="44">
        <f t="shared" si="12"/>
        <v>602632.75999999989</v>
      </c>
      <c r="AO36" s="44">
        <f t="shared" si="13"/>
        <v>261.07705672138064</v>
      </c>
      <c r="AP36" s="12">
        <f t="shared" si="14"/>
        <v>613648.05999999982</v>
      </c>
      <c r="AQ36" s="44">
        <f t="shared" si="35"/>
        <v>268.99704966818746</v>
      </c>
      <c r="AR36" s="12">
        <f t="shared" si="55"/>
        <v>1034534.1199999999</v>
      </c>
      <c r="AS36" s="12">
        <f t="shared" si="56"/>
        <v>-1690.6457466599368</v>
      </c>
      <c r="AT36" s="34">
        <v>745000</v>
      </c>
    </row>
    <row r="37" spans="1:47" s="10" customFormat="1" ht="57.75" hidden="1" customHeight="1" x14ac:dyDescent="0.3">
      <c r="A37" s="9"/>
      <c r="B37" s="120" t="s">
        <v>13</v>
      </c>
      <c r="C37" s="120"/>
      <c r="D37" s="120"/>
      <c r="E37" s="120"/>
      <c r="F37" s="120"/>
      <c r="G37" s="120"/>
      <c r="H37" s="120"/>
      <c r="I37" s="120"/>
      <c r="J37" s="12">
        <f t="shared" ref="J37:N37" si="67">J38+J44</f>
        <v>26875602.490000002</v>
      </c>
      <c r="K37" s="12">
        <f t="shared" si="67"/>
        <v>26875602.490000002</v>
      </c>
      <c r="L37" s="12">
        <f t="shared" si="67"/>
        <v>10496131.460000001</v>
      </c>
      <c r="M37" s="12">
        <f t="shared" si="67"/>
        <v>10496131.460000001</v>
      </c>
      <c r="N37" s="12">
        <f t="shared" si="67"/>
        <v>29133952.98</v>
      </c>
      <c r="O37" s="12">
        <f>O38+O44</f>
        <v>30359839.810000002</v>
      </c>
      <c r="P37" s="12">
        <f t="shared" ref="P37" si="68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69">U38+U44</f>
        <v>34239492.269999996</v>
      </c>
      <c r="V37" s="12">
        <f t="shared" si="69"/>
        <v>13029980.68</v>
      </c>
      <c r="W37" s="12"/>
      <c r="X37" s="12">
        <f t="shared" si="69"/>
        <v>0</v>
      </c>
      <c r="Y37" s="12">
        <f t="shared" si="69"/>
        <v>13029980.68</v>
      </c>
      <c r="Z37" s="12">
        <f>Z38+Z44</f>
        <v>25090600</v>
      </c>
      <c r="AA37" s="12">
        <f>AA38+AA44</f>
        <v>29480458</v>
      </c>
      <c r="AB37" s="12">
        <f>AB38+AB44</f>
        <v>13442428.720000001</v>
      </c>
      <c r="AC37" s="12">
        <f t="shared" ref="AC37:AD37" si="70">AC38+AC44</f>
        <v>360351.83</v>
      </c>
      <c r="AD37" s="12">
        <f t="shared" si="70"/>
        <v>324163.20000000001</v>
      </c>
      <c r="AE37" s="12">
        <v>13061690.68</v>
      </c>
      <c r="AF37" s="12">
        <f>AF38+AF44</f>
        <v>13385853.879999999</v>
      </c>
      <c r="AG37" s="12">
        <f t="shared" si="10"/>
        <v>-36188.630000000005</v>
      </c>
      <c r="AH37" s="44">
        <f t="shared" si="4"/>
        <v>-11704746.120000001</v>
      </c>
      <c r="AI37" s="44">
        <v>0</v>
      </c>
      <c r="AJ37" s="12">
        <f t="shared" si="11"/>
        <v>-16094604.120000001</v>
      </c>
      <c r="AK37" s="44">
        <f t="shared" si="18"/>
        <v>45.405854549478157</v>
      </c>
      <c r="AL37" s="12" t="e">
        <f>AF37-#REF!</f>
        <v>#REF!</v>
      </c>
      <c r="AM37" s="12" t="e">
        <f>IF(#REF!=0,0,AF37/#REF!*100)</f>
        <v>#REF!</v>
      </c>
      <c r="AN37" s="44">
        <f t="shared" si="12"/>
        <v>-56574.840000001714</v>
      </c>
      <c r="AO37" s="44">
        <f t="shared" si="13"/>
        <v>99.579132304299833</v>
      </c>
      <c r="AP37" s="12">
        <f t="shared" si="14"/>
        <v>355873.19999999925</v>
      </c>
      <c r="AQ37" s="44">
        <f t="shared" si="35"/>
        <v>102.73118747248979</v>
      </c>
      <c r="AR37" s="12">
        <f t="shared" si="55"/>
        <v>2889722.4199999981</v>
      </c>
      <c r="AS37" s="12">
        <f t="shared" si="56"/>
        <v>127.5313093306093</v>
      </c>
      <c r="AT37" s="34">
        <f t="shared" ref="AT37" si="71">AT38+AT44</f>
        <v>13385853.879999999</v>
      </c>
    </row>
    <row r="38" spans="1:47" s="5" customFormat="1" ht="39" hidden="1" customHeight="1" x14ac:dyDescent="0.3">
      <c r="A38" s="4"/>
      <c r="B38" s="119" t="s">
        <v>60</v>
      </c>
      <c r="C38" s="119"/>
      <c r="D38" s="119"/>
      <c r="E38" s="119"/>
      <c r="F38" s="119"/>
      <c r="G38" s="119"/>
      <c r="H38" s="119"/>
      <c r="I38" s="119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2">S39+S40+S43+S41+S42</f>
        <v>34618925.310000002</v>
      </c>
      <c r="T38" s="13">
        <f t="shared" si="72"/>
        <v>35367638.399999999</v>
      </c>
      <c r="U38" s="13">
        <f>U39+U40+U43</f>
        <v>33924709.399999999</v>
      </c>
      <c r="V38" s="13">
        <f t="shared" ref="V38:AB38" si="73">V39+V40+V43+V41+V42</f>
        <v>12878200.76</v>
      </c>
      <c r="W38" s="13"/>
      <c r="X38" s="13">
        <f t="shared" si="73"/>
        <v>0</v>
      </c>
      <c r="Y38" s="13">
        <f t="shared" si="73"/>
        <v>12878200.76</v>
      </c>
      <c r="Z38" s="13">
        <f t="shared" si="73"/>
        <v>25090600</v>
      </c>
      <c r="AA38" s="13">
        <f t="shared" si="73"/>
        <v>29480458</v>
      </c>
      <c r="AB38" s="13">
        <f t="shared" si="73"/>
        <v>13442428.720000001</v>
      </c>
      <c r="AC38" s="13">
        <f t="shared" ref="AC38:AD38" si="74">AC39+AC40+AC43+AC41+AC42</f>
        <v>360351.83</v>
      </c>
      <c r="AD38" s="13">
        <f t="shared" si="74"/>
        <v>324163.20000000001</v>
      </c>
      <c r="AE38" s="13">
        <v>13042397.060000001</v>
      </c>
      <c r="AF38" s="13">
        <f>AF39+AF40+AF43+AF41+AF42</f>
        <v>13366560.26</v>
      </c>
      <c r="AG38" s="13">
        <f t="shared" si="10"/>
        <v>-36188.630000000005</v>
      </c>
      <c r="AH38" s="44">
        <f t="shared" si="4"/>
        <v>-11724039.74</v>
      </c>
      <c r="AI38" s="44">
        <v>0</v>
      </c>
      <c r="AJ38" s="12">
        <f t="shared" si="11"/>
        <v>-16113897.74</v>
      </c>
      <c r="AK38" s="42">
        <f t="shared" si="18"/>
        <v>45.340409094051388</v>
      </c>
      <c r="AL38" s="13" t="e">
        <f>AF38-#REF!</f>
        <v>#REF!</v>
      </c>
      <c r="AM38" s="13" t="e">
        <f>IF(#REF!=0,0,AF38/#REF!*100)</f>
        <v>#REF!</v>
      </c>
      <c r="AN38" s="42">
        <f t="shared" si="12"/>
        <v>-75868.460000000894</v>
      </c>
      <c r="AO38" s="42">
        <f t="shared" si="13"/>
        <v>99.43560452072829</v>
      </c>
      <c r="AP38" s="13">
        <f t="shared" si="14"/>
        <v>488359.5</v>
      </c>
      <c r="AQ38" s="42">
        <f t="shared" si="35"/>
        <v>103.79214075864429</v>
      </c>
      <c r="AR38" s="12">
        <f t="shared" si="55"/>
        <v>3494876.2799999993</v>
      </c>
      <c r="AS38" s="12">
        <f t="shared" si="56"/>
        <v>135.40304052561453</v>
      </c>
      <c r="AT38" s="31">
        <f>AF38</f>
        <v>13366560.26</v>
      </c>
    </row>
    <row r="39" spans="1:47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90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176214.47</v>
      </c>
      <c r="W39" s="31"/>
      <c r="X39" s="31"/>
      <c r="Y39" s="31">
        <f>V39</f>
        <v>176214.47</v>
      </c>
      <c r="Z39" s="31">
        <v>360000</v>
      </c>
      <c r="AA39" s="31">
        <v>380458</v>
      </c>
      <c r="AB39" s="31">
        <v>153000</v>
      </c>
      <c r="AC39" s="31">
        <v>11700</v>
      </c>
      <c r="AD39" s="31">
        <v>13685</v>
      </c>
      <c r="AE39" s="31">
        <v>159681</v>
      </c>
      <c r="AF39" s="31">
        <f t="shared" si="23"/>
        <v>173366</v>
      </c>
      <c r="AG39" s="31">
        <f t="shared" si="10"/>
        <v>1985</v>
      </c>
      <c r="AH39" s="103">
        <f t="shared" si="4"/>
        <v>-186634</v>
      </c>
      <c r="AI39" s="103">
        <f>AF39/Z39*100</f>
        <v>48.157222222222224</v>
      </c>
      <c r="AJ39" s="31">
        <f t="shared" si="11"/>
        <v>-207092</v>
      </c>
      <c r="AK39" s="103">
        <f t="shared" si="18"/>
        <v>45.56771049629657</v>
      </c>
      <c r="AL39" s="31"/>
      <c r="AM39" s="31"/>
      <c r="AN39" s="103">
        <f t="shared" si="12"/>
        <v>20366</v>
      </c>
      <c r="AO39" s="103">
        <f t="shared" si="13"/>
        <v>113.31111111111112</v>
      </c>
      <c r="AP39" s="31">
        <f t="shared" si="14"/>
        <v>-2848.4700000000012</v>
      </c>
      <c r="AQ39" s="117">
        <f t="shared" si="35"/>
        <v>98.383520944676107</v>
      </c>
      <c r="AR39" s="12"/>
      <c r="AS39" s="12"/>
      <c r="AT39" s="31"/>
    </row>
    <row r="40" spans="1:47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91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5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6">T40</f>
        <v>33218079.799999997</v>
      </c>
      <c r="V40" s="31">
        <v>12112775.289999999</v>
      </c>
      <c r="W40" s="31"/>
      <c r="X40" s="31"/>
      <c r="Y40" s="31">
        <f>V40</f>
        <v>12112775.289999999</v>
      </c>
      <c r="Z40" s="31">
        <v>22830600</v>
      </c>
      <c r="AA40" s="31">
        <v>27500000</v>
      </c>
      <c r="AB40" s="31">
        <v>12905080</v>
      </c>
      <c r="AC40" s="31">
        <v>307541.83</v>
      </c>
      <c r="AD40" s="31">
        <v>289824.2</v>
      </c>
      <c r="AE40" s="31">
        <v>12028423.060000001</v>
      </c>
      <c r="AF40" s="31">
        <f t="shared" si="23"/>
        <v>12318247.26</v>
      </c>
      <c r="AG40" s="31">
        <f t="shared" si="10"/>
        <v>-17717.630000000005</v>
      </c>
      <c r="AH40" s="103">
        <f t="shared" si="4"/>
        <v>-10512352.74</v>
      </c>
      <c r="AI40" s="103">
        <f>AF40/Z40*100</f>
        <v>53.954986991143464</v>
      </c>
      <c r="AJ40" s="31">
        <f t="shared" si="11"/>
        <v>-15181752.74</v>
      </c>
      <c r="AK40" s="103">
        <f t="shared" si="18"/>
        <v>44.793626400000001</v>
      </c>
      <c r="AL40" s="31"/>
      <c r="AM40" s="31"/>
      <c r="AN40" s="103">
        <f t="shared" si="12"/>
        <v>-586832.74000000022</v>
      </c>
      <c r="AO40" s="103">
        <f t="shared" si="13"/>
        <v>95.452699712051384</v>
      </c>
      <c r="AP40" s="31">
        <f t="shared" si="14"/>
        <v>205471.97000000067</v>
      </c>
      <c r="AQ40" s="103">
        <f t="shared" si="35"/>
        <v>101.69632445975971</v>
      </c>
      <c r="AR40" s="12"/>
      <c r="AS40" s="12"/>
      <c r="AT40" s="31"/>
    </row>
    <row r="41" spans="1:47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92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565063</v>
      </c>
      <c r="W41" s="31"/>
      <c r="X41" s="31"/>
      <c r="Y41" s="31">
        <f t="shared" ref="Y41:Y42" si="77">V41</f>
        <v>565063</v>
      </c>
      <c r="Z41" s="31">
        <v>1400000</v>
      </c>
      <c r="AA41" s="31">
        <v>1400000</v>
      </c>
      <c r="AB41" s="31">
        <v>274348.71999999997</v>
      </c>
      <c r="AC41" s="31">
        <v>38260</v>
      </c>
      <c r="AD41" s="31">
        <v>20654</v>
      </c>
      <c r="AE41" s="31">
        <v>612943</v>
      </c>
      <c r="AF41" s="31">
        <f t="shared" si="23"/>
        <v>633597</v>
      </c>
      <c r="AG41" s="31">
        <f t="shared" si="10"/>
        <v>-17606</v>
      </c>
      <c r="AH41" s="103">
        <f t="shared" si="4"/>
        <v>-766403</v>
      </c>
      <c r="AI41" s="103">
        <f t="shared" ref="AI41:AI42" si="78">AF41/Z41*100</f>
        <v>45.256928571428574</v>
      </c>
      <c r="AJ41" s="31">
        <f t="shared" si="11"/>
        <v>-766403</v>
      </c>
      <c r="AK41" s="103">
        <f t="shared" si="18"/>
        <v>45.256928571428574</v>
      </c>
      <c r="AL41" s="31"/>
      <c r="AM41" s="31"/>
      <c r="AN41" s="103">
        <f t="shared" si="12"/>
        <v>359248.28</v>
      </c>
      <c r="AO41" s="103">
        <f t="shared" si="13"/>
        <v>230.94585606231371</v>
      </c>
      <c r="AP41" s="31">
        <f t="shared" si="14"/>
        <v>68534</v>
      </c>
      <c r="AQ41" s="103">
        <f t="shared" si="35"/>
        <v>112.12855911641711</v>
      </c>
      <c r="AR41" s="12"/>
      <c r="AS41" s="12"/>
      <c r="AT41" s="31"/>
    </row>
    <row r="42" spans="1:47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93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7"/>
        <v>0</v>
      </c>
      <c r="Z42" s="31">
        <v>500000</v>
      </c>
      <c r="AA42" s="31">
        <v>200000</v>
      </c>
      <c r="AB42" s="31">
        <v>110000</v>
      </c>
      <c r="AC42" s="31">
        <v>0</v>
      </c>
      <c r="AD42" s="31">
        <v>0</v>
      </c>
      <c r="AE42" s="31">
        <v>228300</v>
      </c>
      <c r="AF42" s="31">
        <f t="shared" si="23"/>
        <v>228300</v>
      </c>
      <c r="AG42" s="31">
        <f t="shared" si="10"/>
        <v>0</v>
      </c>
      <c r="AH42" s="103">
        <f t="shared" si="4"/>
        <v>-271700</v>
      </c>
      <c r="AI42" s="103">
        <f t="shared" si="78"/>
        <v>45.660000000000004</v>
      </c>
      <c r="AJ42" s="31">
        <f t="shared" si="11"/>
        <v>28300</v>
      </c>
      <c r="AK42" s="103">
        <f t="shared" si="18"/>
        <v>114.15</v>
      </c>
      <c r="AL42" s="31"/>
      <c r="AM42" s="31"/>
      <c r="AN42" s="103">
        <f t="shared" si="12"/>
        <v>118300</v>
      </c>
      <c r="AO42" s="103">
        <f t="shared" si="13"/>
        <v>207.54545454545456</v>
      </c>
      <c r="AP42" s="31">
        <f t="shared" si="14"/>
        <v>228300</v>
      </c>
      <c r="AQ42" s="103">
        <v>0</v>
      </c>
      <c r="AR42" s="12"/>
      <c r="AS42" s="12"/>
      <c r="AT42" s="31"/>
    </row>
    <row r="43" spans="1:47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97</v>
      </c>
      <c r="J43" s="31"/>
      <c r="K43" s="31"/>
      <c r="L43" s="31"/>
      <c r="M43" s="31"/>
      <c r="N43" s="31"/>
      <c r="O43" s="31">
        <v>0</v>
      </c>
      <c r="P43" s="31">
        <f t="shared" si="75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6"/>
        <v>68665.72</v>
      </c>
      <c r="V43" s="31">
        <v>24148</v>
      </c>
      <c r="W43" s="31"/>
      <c r="X43" s="31"/>
      <c r="Y43" s="31">
        <f>V43</f>
        <v>24148</v>
      </c>
      <c r="Z43" s="31">
        <v>0</v>
      </c>
      <c r="AA43" s="31">
        <v>0</v>
      </c>
      <c r="AB43" s="31">
        <v>0</v>
      </c>
      <c r="AC43" s="31">
        <v>2850</v>
      </c>
      <c r="AD43" s="31">
        <v>0</v>
      </c>
      <c r="AE43" s="31">
        <v>13050</v>
      </c>
      <c r="AF43" s="31">
        <f t="shared" si="23"/>
        <v>13050</v>
      </c>
      <c r="AG43" s="31">
        <f t="shared" si="10"/>
        <v>-2850</v>
      </c>
      <c r="AH43" s="103">
        <f t="shared" si="4"/>
        <v>13050</v>
      </c>
      <c r="AI43" s="103">
        <v>0</v>
      </c>
      <c r="AJ43" s="31">
        <f t="shared" si="11"/>
        <v>13050</v>
      </c>
      <c r="AK43" s="103">
        <v>0</v>
      </c>
      <c r="AL43" s="31"/>
      <c r="AM43" s="31"/>
      <c r="AN43" s="103">
        <f t="shared" si="12"/>
        <v>13050</v>
      </c>
      <c r="AO43" s="103">
        <v>0</v>
      </c>
      <c r="AP43" s="31">
        <f t="shared" si="14"/>
        <v>-11098</v>
      </c>
      <c r="AQ43" s="103">
        <f t="shared" si="35"/>
        <v>54.04174258737784</v>
      </c>
      <c r="AR43" s="12"/>
      <c r="AS43" s="12"/>
      <c r="AT43" s="31"/>
    </row>
    <row r="44" spans="1:47" s="5" customFormat="1" ht="28.5" hidden="1" customHeight="1" x14ac:dyDescent="0.3">
      <c r="A44" s="4"/>
      <c r="B44" s="119" t="s">
        <v>12</v>
      </c>
      <c r="C44" s="119"/>
      <c r="D44" s="119"/>
      <c r="E44" s="119"/>
      <c r="F44" s="119"/>
      <c r="G44" s="119"/>
      <c r="H44" s="119"/>
      <c r="I44" s="119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151779.92000000001</v>
      </c>
      <c r="W44" s="13"/>
      <c r="X44" s="13"/>
      <c r="Y44" s="13">
        <f>V44</f>
        <v>151779.92000000001</v>
      </c>
      <c r="Z44" s="13"/>
      <c r="AA44" s="13">
        <v>0</v>
      </c>
      <c r="AB44" s="13">
        <v>0</v>
      </c>
      <c r="AC44" s="13">
        <v>0</v>
      </c>
      <c r="AD44" s="13">
        <v>0</v>
      </c>
      <c r="AE44" s="13">
        <v>19293.62</v>
      </c>
      <c r="AF44" s="13">
        <f t="shared" si="23"/>
        <v>19293.62</v>
      </c>
      <c r="AG44" s="13">
        <f t="shared" si="10"/>
        <v>0</v>
      </c>
      <c r="AH44" s="44">
        <f t="shared" si="4"/>
        <v>19293.62</v>
      </c>
      <c r="AI44" s="44">
        <v>0</v>
      </c>
      <c r="AJ44" s="13">
        <f t="shared" si="11"/>
        <v>19293.62</v>
      </c>
      <c r="AK44" s="116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2"/>
        <v>19293.62</v>
      </c>
      <c r="AO44" s="116">
        <v>0</v>
      </c>
      <c r="AP44" s="13">
        <f t="shared" si="14"/>
        <v>-132486.30000000002</v>
      </c>
      <c r="AQ44" s="114">
        <f t="shared" si="35"/>
        <v>12.711576076730042</v>
      </c>
      <c r="AR44" s="12">
        <f t="shared" ref="AR44:AR59" si="79">AF44-M44</f>
        <v>-605153.86</v>
      </c>
      <c r="AS44" s="12">
        <f t="shared" ref="AS44:AS59" si="80">IF(M44=0,0,AF44/M44*100)</f>
        <v>3.0897106030438297</v>
      </c>
      <c r="AT44" s="31">
        <f>AF44</f>
        <v>19293.62</v>
      </c>
    </row>
    <row r="45" spans="1:47" s="10" customFormat="1" ht="60" hidden="1" customHeight="1" x14ac:dyDescent="0.3">
      <c r="A45" s="9"/>
      <c r="B45" s="120" t="s">
        <v>11</v>
      </c>
      <c r="C45" s="120"/>
      <c r="D45" s="120"/>
      <c r="E45" s="120"/>
      <c r="F45" s="120"/>
      <c r="G45" s="120"/>
      <c r="H45" s="120"/>
      <c r="I45" s="120"/>
      <c r="J45" s="12">
        <f t="shared" ref="J45:AF45" si="81">J46+J47</f>
        <v>4290634.29</v>
      </c>
      <c r="K45" s="12">
        <f t="shared" si="81"/>
        <v>4290634.29</v>
      </c>
      <c r="L45" s="12">
        <f t="shared" si="81"/>
        <v>3198289.13</v>
      </c>
      <c r="M45" s="12">
        <f t="shared" si="81"/>
        <v>3198289.13</v>
      </c>
      <c r="N45" s="12">
        <f t="shared" si="81"/>
        <v>3516712.9</v>
      </c>
      <c r="O45" s="12">
        <f t="shared" si="81"/>
        <v>4112775.06</v>
      </c>
      <c r="P45" s="12">
        <f t="shared" si="81"/>
        <v>4112775.06</v>
      </c>
      <c r="Q45" s="12">
        <v>4112775.06</v>
      </c>
      <c r="R45" s="12">
        <f t="shared" si="81"/>
        <v>4112775.06</v>
      </c>
      <c r="S45" s="12">
        <f t="shared" si="81"/>
        <v>1171237.6000000001</v>
      </c>
      <c r="T45" s="12">
        <f t="shared" si="81"/>
        <v>2218931.5799999996</v>
      </c>
      <c r="U45" s="12">
        <f t="shared" si="81"/>
        <v>2218931.5799999996</v>
      </c>
      <c r="V45" s="12">
        <f t="shared" si="81"/>
        <v>441696.33999999997</v>
      </c>
      <c r="W45" s="12"/>
      <c r="X45" s="12">
        <f t="shared" si="81"/>
        <v>0</v>
      </c>
      <c r="Y45" s="12">
        <f t="shared" si="81"/>
        <v>441696.33999999997</v>
      </c>
      <c r="Z45" s="12">
        <f t="shared" si="81"/>
        <v>132000</v>
      </c>
      <c r="AA45" s="12">
        <f t="shared" si="81"/>
        <v>132000</v>
      </c>
      <c r="AB45" s="12">
        <f t="shared" si="81"/>
        <v>132000</v>
      </c>
      <c r="AC45" s="12">
        <f t="shared" ref="AC45:AD45" si="82">AC46+AC47</f>
        <v>0</v>
      </c>
      <c r="AD45" s="12">
        <f t="shared" si="82"/>
        <v>88740.74</v>
      </c>
      <c r="AE45" s="12">
        <v>391172.12</v>
      </c>
      <c r="AF45" s="12">
        <f t="shared" si="81"/>
        <v>479912.86</v>
      </c>
      <c r="AG45" s="12">
        <f t="shared" si="10"/>
        <v>88740.74</v>
      </c>
      <c r="AH45" s="44">
        <f t="shared" si="4"/>
        <v>347912.86</v>
      </c>
      <c r="AI45" s="44">
        <f t="shared" ref="AI45:AI58" si="83">AF45/Z45*100</f>
        <v>363.57034848484847</v>
      </c>
      <c r="AJ45" s="12">
        <f t="shared" si="11"/>
        <v>347912.86</v>
      </c>
      <c r="AK45" s="44">
        <f t="shared" si="18"/>
        <v>363.57034848484847</v>
      </c>
      <c r="AL45" s="12" t="e">
        <f>AF45-#REF!</f>
        <v>#REF!</v>
      </c>
      <c r="AM45" s="12" t="e">
        <f>IF(#REF!=0,0,AF45/#REF!*100)</f>
        <v>#REF!</v>
      </c>
      <c r="AN45" s="44">
        <f t="shared" si="12"/>
        <v>347912.86</v>
      </c>
      <c r="AO45" s="114">
        <f t="shared" si="13"/>
        <v>363.57034848484847</v>
      </c>
      <c r="AP45" s="12">
        <f t="shared" si="14"/>
        <v>38216.520000000019</v>
      </c>
      <c r="AQ45" s="44">
        <f t="shared" si="35"/>
        <v>108.65221568283768</v>
      </c>
      <c r="AR45" s="12">
        <f t="shared" si="79"/>
        <v>-2718376.27</v>
      </c>
      <c r="AS45" s="12">
        <f t="shared" si="80"/>
        <v>15.005299411438767</v>
      </c>
      <c r="AT45" s="34">
        <f t="shared" ref="AT45" si="84">AT46+AT47</f>
        <v>479912.86</v>
      </c>
    </row>
    <row r="46" spans="1:47" s="5" customFormat="1" ht="63" hidden="1" customHeight="1" x14ac:dyDescent="0.3">
      <c r="A46" s="4"/>
      <c r="B46" s="119" t="s">
        <v>37</v>
      </c>
      <c r="C46" s="119"/>
      <c r="D46" s="119"/>
      <c r="E46" s="119"/>
      <c r="F46" s="119"/>
      <c r="G46" s="119"/>
      <c r="H46" s="119"/>
      <c r="I46" s="119"/>
      <c r="J46" s="13">
        <v>163530</v>
      </c>
      <c r="K46" s="13">
        <f t="shared" ref="K46:K49" si="85">J46</f>
        <v>163530</v>
      </c>
      <c r="L46" s="13">
        <v>0</v>
      </c>
      <c r="M46" s="13">
        <f t="shared" ref="M46:M49" si="86">L46</f>
        <v>0</v>
      </c>
      <c r="N46" s="13">
        <v>762433</v>
      </c>
      <c r="O46" s="13">
        <v>763713</v>
      </c>
      <c r="P46" s="13">
        <f t="shared" ref="P46:P49" si="87">O46</f>
        <v>763713</v>
      </c>
      <c r="Q46" s="13">
        <v>763713</v>
      </c>
      <c r="R46" s="13">
        <f t="shared" ref="R46:R48" si="88">Q46</f>
        <v>763713</v>
      </c>
      <c r="S46" s="13">
        <v>5228.8</v>
      </c>
      <c r="T46" s="13">
        <v>5228.8</v>
      </c>
      <c r="U46" s="13">
        <f t="shared" ref="U46:U49" si="89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3"/>
        <v>0</v>
      </c>
      <c r="AG46" s="13">
        <f t="shared" si="10"/>
        <v>0</v>
      </c>
      <c r="AH46" s="44">
        <f t="shared" si="4"/>
        <v>-132000</v>
      </c>
      <c r="AI46" s="44">
        <f t="shared" si="83"/>
        <v>0</v>
      </c>
      <c r="AJ46" s="13">
        <f t="shared" si="11"/>
        <v>0</v>
      </c>
      <c r="AK46" s="116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2"/>
        <v>0</v>
      </c>
      <c r="AO46" s="116">
        <v>0</v>
      </c>
      <c r="AP46" s="13">
        <f t="shared" si="14"/>
        <v>-5228.8</v>
      </c>
      <c r="AQ46" s="42">
        <f t="shared" si="35"/>
        <v>0</v>
      </c>
      <c r="AR46" s="12">
        <f t="shared" si="79"/>
        <v>0</v>
      </c>
      <c r="AS46" s="12">
        <f t="shared" si="80"/>
        <v>0</v>
      </c>
      <c r="AT46" s="31">
        <f>AF46</f>
        <v>0</v>
      </c>
    </row>
    <row r="47" spans="1:47" s="5" customFormat="1" ht="65.25" hidden="1" customHeight="1" x14ac:dyDescent="0.3">
      <c r="A47" s="4"/>
      <c r="B47" s="119" t="s">
        <v>10</v>
      </c>
      <c r="C47" s="119"/>
      <c r="D47" s="119"/>
      <c r="E47" s="119"/>
      <c r="F47" s="119"/>
      <c r="G47" s="119"/>
      <c r="H47" s="119"/>
      <c r="I47" s="119"/>
      <c r="J47" s="13">
        <v>4127104.29</v>
      </c>
      <c r="K47" s="13">
        <f t="shared" si="85"/>
        <v>4127104.29</v>
      </c>
      <c r="L47" s="13">
        <v>3198289.13</v>
      </c>
      <c r="M47" s="13">
        <f t="shared" si="86"/>
        <v>3198289.13</v>
      </c>
      <c r="N47" s="13">
        <v>2754279.9</v>
      </c>
      <c r="O47" s="13">
        <v>3349062.06</v>
      </c>
      <c r="P47" s="13">
        <f t="shared" si="87"/>
        <v>3349062.06</v>
      </c>
      <c r="Q47" s="13">
        <v>3349062.06</v>
      </c>
      <c r="R47" s="13">
        <f t="shared" si="88"/>
        <v>3349062.06</v>
      </c>
      <c r="S47" s="13">
        <v>1166008.8</v>
      </c>
      <c r="T47" s="13">
        <v>2213702.7799999998</v>
      </c>
      <c r="U47" s="13">
        <f t="shared" si="89"/>
        <v>2213702.7799999998</v>
      </c>
      <c r="V47" s="13">
        <v>436467.54</v>
      </c>
      <c r="W47" s="13"/>
      <c r="X47" s="13"/>
      <c r="Y47" s="13">
        <f>V47</f>
        <v>436467.54</v>
      </c>
      <c r="Z47" s="13">
        <v>0</v>
      </c>
      <c r="AA47" s="13">
        <v>132000</v>
      </c>
      <c r="AB47" s="13">
        <v>132000</v>
      </c>
      <c r="AC47" s="13">
        <v>0</v>
      </c>
      <c r="AD47" s="13">
        <v>88740.74</v>
      </c>
      <c r="AE47" s="13">
        <v>391172.12</v>
      </c>
      <c r="AF47" s="13">
        <f t="shared" si="23"/>
        <v>479912.86</v>
      </c>
      <c r="AG47" s="13">
        <f t="shared" si="10"/>
        <v>88740.74</v>
      </c>
      <c r="AH47" s="44">
        <f t="shared" si="4"/>
        <v>479912.86</v>
      </c>
      <c r="AI47" s="44">
        <v>0</v>
      </c>
      <c r="AJ47" s="13">
        <f t="shared" si="11"/>
        <v>347912.86</v>
      </c>
      <c r="AK47" s="42">
        <f>AF47/AA47%</f>
        <v>363.57034848484847</v>
      </c>
      <c r="AL47" s="13" t="e">
        <f>AF47-#REF!</f>
        <v>#REF!</v>
      </c>
      <c r="AM47" s="13" t="e">
        <f>IF(#REF!=0,0,AF47/#REF!*100)</f>
        <v>#REF!</v>
      </c>
      <c r="AN47" s="42">
        <f t="shared" si="12"/>
        <v>347912.86</v>
      </c>
      <c r="AO47" s="42">
        <f t="shared" si="13"/>
        <v>363.57034848484847</v>
      </c>
      <c r="AP47" s="13">
        <f t="shared" si="14"/>
        <v>43445.320000000007</v>
      </c>
      <c r="AQ47" s="42">
        <f t="shared" si="35"/>
        <v>109.95384903078931</v>
      </c>
      <c r="AR47" s="12">
        <f t="shared" si="79"/>
        <v>-2718376.27</v>
      </c>
      <c r="AS47" s="12">
        <f t="shared" si="80"/>
        <v>15.005299411438767</v>
      </c>
      <c r="AT47" s="31">
        <f>AF47</f>
        <v>479912.86</v>
      </c>
      <c r="AU47" s="86"/>
    </row>
    <row r="48" spans="1:47" s="10" customFormat="1" ht="39.75" hidden="1" customHeight="1" x14ac:dyDescent="0.3">
      <c r="A48" s="9"/>
      <c r="B48" s="120" t="s">
        <v>9</v>
      </c>
      <c r="C48" s="120"/>
      <c r="D48" s="120"/>
      <c r="E48" s="120"/>
      <c r="F48" s="120"/>
      <c r="G48" s="120"/>
      <c r="H48" s="120"/>
      <c r="I48" s="120"/>
      <c r="J48" s="12">
        <v>2338187.02</v>
      </c>
      <c r="K48" s="12">
        <f t="shared" si="85"/>
        <v>2338187.02</v>
      </c>
      <c r="L48" s="12">
        <v>974257.27</v>
      </c>
      <c r="M48" s="12">
        <f t="shared" si="86"/>
        <v>974257.27</v>
      </c>
      <c r="N48" s="12">
        <v>2799320.03</v>
      </c>
      <c r="O48" s="12">
        <v>3055345.14</v>
      </c>
      <c r="P48" s="12">
        <f t="shared" si="87"/>
        <v>3055345.14</v>
      </c>
      <c r="Q48" s="12">
        <v>3055345.14</v>
      </c>
      <c r="R48" s="12">
        <f t="shared" si="88"/>
        <v>3055345.14</v>
      </c>
      <c r="S48" s="12">
        <v>2239812</v>
      </c>
      <c r="T48" s="12">
        <v>2273274.8299999996</v>
      </c>
      <c r="U48" s="12">
        <f t="shared" si="89"/>
        <v>2273274.8299999996</v>
      </c>
      <c r="V48" s="12">
        <v>526238.30000000005</v>
      </c>
      <c r="W48" s="12"/>
      <c r="X48" s="12"/>
      <c r="Y48" s="12">
        <f>V48</f>
        <v>526238.30000000005</v>
      </c>
      <c r="Z48" s="12">
        <v>1249470</v>
      </c>
      <c r="AA48" s="12">
        <v>1147080</v>
      </c>
      <c r="AB48" s="12">
        <v>438046.23</v>
      </c>
      <c r="AC48" s="12">
        <v>20000</v>
      </c>
      <c r="AD48" s="12">
        <v>5500</v>
      </c>
      <c r="AE48" s="12">
        <v>407349.99</v>
      </c>
      <c r="AF48" s="12">
        <f t="shared" si="23"/>
        <v>412849.99</v>
      </c>
      <c r="AG48" s="12">
        <f t="shared" si="10"/>
        <v>-14500</v>
      </c>
      <c r="AH48" s="44">
        <f t="shared" si="4"/>
        <v>-836620.01</v>
      </c>
      <c r="AI48" s="44">
        <f t="shared" si="83"/>
        <v>33.042009011821008</v>
      </c>
      <c r="AJ48" s="12">
        <f t="shared" si="11"/>
        <v>-734230.01</v>
      </c>
      <c r="AK48" s="44">
        <f t="shared" si="18"/>
        <v>35.991385953900341</v>
      </c>
      <c r="AL48" s="12" t="e">
        <f>AF48-#REF!</f>
        <v>#REF!</v>
      </c>
      <c r="AM48" s="12" t="e">
        <f>IF(#REF!=0,0,AF48/#REF!*100)</f>
        <v>#REF!</v>
      </c>
      <c r="AN48" s="44">
        <f t="shared" si="12"/>
        <v>-25196.239999999991</v>
      </c>
      <c r="AO48" s="44">
        <f t="shared" si="13"/>
        <v>94.248040897418534</v>
      </c>
      <c r="AP48" s="12">
        <f t="shared" si="14"/>
        <v>-113388.31000000006</v>
      </c>
      <c r="AQ48" s="44">
        <f t="shared" si="35"/>
        <v>78.45304874236632</v>
      </c>
      <c r="AR48" s="12">
        <f t="shared" si="79"/>
        <v>-561407.28</v>
      </c>
      <c r="AS48" s="12">
        <f t="shared" si="80"/>
        <v>42.375869568825493</v>
      </c>
      <c r="AT48" s="34">
        <f>AF48</f>
        <v>412849.99</v>
      </c>
    </row>
    <row r="49" spans="1:48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44</v>
      </c>
      <c r="J49" s="16">
        <v>256536.06</v>
      </c>
      <c r="K49" s="16">
        <f t="shared" si="85"/>
        <v>256536.06</v>
      </c>
      <c r="L49" s="16">
        <v>109317.03</v>
      </c>
      <c r="M49" s="16">
        <f t="shared" si="86"/>
        <v>109317.03</v>
      </c>
      <c r="N49" s="16">
        <v>210726.7</v>
      </c>
      <c r="O49" s="25">
        <f>221100.64+0.02+606.42</f>
        <v>221707.08000000002</v>
      </c>
      <c r="P49" s="16">
        <f t="shared" si="87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89"/>
        <v>278352.34000000003</v>
      </c>
      <c r="V49" s="25">
        <v>79426.649999999994</v>
      </c>
      <c r="W49" s="25"/>
      <c r="X49" s="25"/>
      <c r="Y49" s="16">
        <f>V49</f>
        <v>79426.649999999994</v>
      </c>
      <c r="Z49" s="25">
        <v>336190</v>
      </c>
      <c r="AA49" s="25">
        <v>159900</v>
      </c>
      <c r="AB49" s="25">
        <v>61237</v>
      </c>
      <c r="AC49" s="25">
        <v>5000</v>
      </c>
      <c r="AD49" s="25">
        <v>0</v>
      </c>
      <c r="AE49" s="25">
        <v>60721.200000000004</v>
      </c>
      <c r="AF49" s="25">
        <f t="shared" si="23"/>
        <v>60721.200000000004</v>
      </c>
      <c r="AG49" s="16">
        <f t="shared" si="10"/>
        <v>-5000</v>
      </c>
      <c r="AH49" s="44">
        <f t="shared" si="4"/>
        <v>-275468.79999999999</v>
      </c>
      <c r="AI49" s="44">
        <f t="shared" si="83"/>
        <v>18.061572325173266</v>
      </c>
      <c r="AJ49" s="12">
        <f t="shared" si="11"/>
        <v>-99178.799999999988</v>
      </c>
      <c r="AK49" s="42">
        <f t="shared" si="18"/>
        <v>37.974484052532837</v>
      </c>
      <c r="AL49" s="13" t="e">
        <f>AF49-#REF!</f>
        <v>#REF!</v>
      </c>
      <c r="AM49" s="13" t="e">
        <f>IF(#REF!=0,0,AF49/#REF!*100)</f>
        <v>#REF!</v>
      </c>
      <c r="AN49" s="42">
        <f t="shared" si="12"/>
        <v>-515.79999999999563</v>
      </c>
      <c r="AO49" s="42">
        <f t="shared" si="13"/>
        <v>99.157698776883265</v>
      </c>
      <c r="AP49" s="13">
        <f t="shared" si="14"/>
        <v>-18705.44999999999</v>
      </c>
      <c r="AQ49" s="42">
        <f t="shared" si="35"/>
        <v>76.44940331740041</v>
      </c>
      <c r="AR49" s="12">
        <f t="shared" si="79"/>
        <v>-48595.829999999994</v>
      </c>
      <c r="AS49" s="12">
        <f t="shared" si="80"/>
        <v>55.545965710923554</v>
      </c>
      <c r="AT49" s="31">
        <f>AF49</f>
        <v>60721.200000000004</v>
      </c>
      <c r="AV49" s="25"/>
    </row>
    <row r="50" spans="1:48" s="10" customFormat="1" ht="36.75" hidden="1" customHeight="1" x14ac:dyDescent="0.3">
      <c r="A50" s="9"/>
      <c r="B50" s="120" t="s">
        <v>7</v>
      </c>
      <c r="C50" s="120"/>
      <c r="D50" s="120"/>
      <c r="E50" s="120"/>
      <c r="F50" s="120"/>
      <c r="G50" s="120"/>
      <c r="H50" s="120"/>
      <c r="I50" s="120"/>
      <c r="J50" s="12">
        <f t="shared" ref="J50:P50" si="90">J51+J53</f>
        <v>1294662.3799999999</v>
      </c>
      <c r="K50" s="12">
        <f t="shared" si="90"/>
        <v>4769167.24</v>
      </c>
      <c r="L50" s="12">
        <f t="shared" si="90"/>
        <v>389278.05</v>
      </c>
      <c r="M50" s="12">
        <f t="shared" si="90"/>
        <v>3115566.66</v>
      </c>
      <c r="N50" s="12">
        <f t="shared" si="90"/>
        <v>2895802</v>
      </c>
      <c r="O50" s="12">
        <f t="shared" si="90"/>
        <v>4075696.4</v>
      </c>
      <c r="P50" s="12">
        <f t="shared" si="90"/>
        <v>4075696.4</v>
      </c>
      <c r="Q50" s="12">
        <v>4075696.4</v>
      </c>
      <c r="R50" s="12">
        <f t="shared" ref="R50" si="91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2">U51+U52+U53</f>
        <v>5495063.3199999994</v>
      </c>
      <c r="V50" s="12">
        <f t="shared" si="92"/>
        <v>4166756.21</v>
      </c>
      <c r="W50" s="12">
        <f t="shared" si="92"/>
        <v>0</v>
      </c>
      <c r="X50" s="12">
        <f t="shared" si="92"/>
        <v>0</v>
      </c>
      <c r="Y50" s="12">
        <f t="shared" si="92"/>
        <v>4166756.21</v>
      </c>
      <c r="Z50" s="12">
        <f t="shared" ref="Z50:AB50" si="93">Z51+Z53</f>
        <v>2715689.65</v>
      </c>
      <c r="AA50" s="12">
        <f t="shared" si="93"/>
        <v>3474504.86</v>
      </c>
      <c r="AB50" s="12">
        <f t="shared" si="93"/>
        <v>3474504.86</v>
      </c>
      <c r="AC50" s="12">
        <f>AC51+AC52+AC53</f>
        <v>-3358078.08</v>
      </c>
      <c r="AD50" s="12">
        <f>AD51+AD52+AD53</f>
        <v>134008.35</v>
      </c>
      <c r="AE50" s="12">
        <v>2697456.58</v>
      </c>
      <c r="AF50" s="12">
        <f>AF51+AF52+AF53</f>
        <v>2831464.93</v>
      </c>
      <c r="AG50" s="12">
        <f t="shared" si="10"/>
        <v>3492086.43</v>
      </c>
      <c r="AH50" s="44">
        <f t="shared" si="4"/>
        <v>115775.28000000026</v>
      </c>
      <c r="AI50" s="44">
        <f t="shared" si="83"/>
        <v>104.26319995732945</v>
      </c>
      <c r="AJ50" s="12">
        <f t="shared" si="11"/>
        <v>-643039.9299999997</v>
      </c>
      <c r="AK50" s="44">
        <f t="shared" si="18"/>
        <v>81.492616763817111</v>
      </c>
      <c r="AL50" s="12" t="e">
        <f>AF50-#REF!</f>
        <v>#REF!</v>
      </c>
      <c r="AM50" s="12" t="e">
        <f>IF(#REF!=0,0,AF50/#REF!*100)</f>
        <v>#REF!</v>
      </c>
      <c r="AN50" s="44">
        <f t="shared" si="12"/>
        <v>-643039.9299999997</v>
      </c>
      <c r="AO50" s="44">
        <f t="shared" si="13"/>
        <v>81.492616763817111</v>
      </c>
      <c r="AP50" s="12">
        <f t="shared" si="14"/>
        <v>-1335291.2799999998</v>
      </c>
      <c r="AQ50" s="44">
        <f t="shared" si="35"/>
        <v>67.953697967849195</v>
      </c>
      <c r="AR50" s="12">
        <f t="shared" si="79"/>
        <v>-284101.73</v>
      </c>
      <c r="AS50" s="12">
        <f t="shared" si="80"/>
        <v>90.881218057456039</v>
      </c>
      <c r="AT50" s="34">
        <f t="shared" ref="AT50" si="94">AT51+AT53</f>
        <v>4372653.32</v>
      </c>
    </row>
    <row r="51" spans="1:48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78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-16479.14</v>
      </c>
      <c r="W51" s="13"/>
      <c r="X51" s="13"/>
      <c r="Y51" s="13">
        <f>V51</f>
        <v>-16479.14</v>
      </c>
      <c r="Z51" s="13">
        <v>0</v>
      </c>
      <c r="AA51" s="13">
        <v>0</v>
      </c>
      <c r="AB51" s="13">
        <v>0</v>
      </c>
      <c r="AC51" s="113">
        <v>-3483728.08</v>
      </c>
      <c r="AD51" s="113">
        <v>0</v>
      </c>
      <c r="AE51" s="13">
        <v>17101.319999999832</v>
      </c>
      <c r="AF51" s="13">
        <f t="shared" si="23"/>
        <v>17101.319999999832</v>
      </c>
      <c r="AG51" s="16">
        <f t="shared" si="10"/>
        <v>3483728.08</v>
      </c>
      <c r="AH51" s="44">
        <f t="shared" si="4"/>
        <v>17101.319999999832</v>
      </c>
      <c r="AI51" s="44">
        <v>0</v>
      </c>
      <c r="AJ51" s="13">
        <f t="shared" si="11"/>
        <v>17101.319999999832</v>
      </c>
      <c r="AK51" s="116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2"/>
        <v>17101.319999999832</v>
      </c>
      <c r="AO51" s="116">
        <v>0</v>
      </c>
      <c r="AP51" s="13">
        <f t="shared" si="14"/>
        <v>33580.459999999832</v>
      </c>
      <c r="AQ51" s="42">
        <f t="shared" si="35"/>
        <v>-103.775561103309</v>
      </c>
      <c r="AR51" s="12">
        <f t="shared" si="79"/>
        <v>-372176.73000000016</v>
      </c>
      <c r="AS51" s="12">
        <f t="shared" si="80"/>
        <v>4.3930861244295256</v>
      </c>
      <c r="AT51" s="31">
        <f>AF51</f>
        <v>17101.319999999832</v>
      </c>
    </row>
    <row r="52" spans="1:48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79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5">T52</f>
        <v>155286.9</v>
      </c>
      <c r="V52" s="13">
        <v>78836.899999999994</v>
      </c>
      <c r="W52" s="13"/>
      <c r="X52" s="13"/>
      <c r="Y52" s="13">
        <f t="shared" ref="Y52:Y53" si="96">V52</f>
        <v>78836.899999999994</v>
      </c>
      <c r="Z52" s="13"/>
      <c r="AA52" s="13">
        <v>0</v>
      </c>
      <c r="AB52" s="13">
        <v>0</v>
      </c>
      <c r="AC52" s="113">
        <v>50</v>
      </c>
      <c r="AD52" s="113">
        <v>2050</v>
      </c>
      <c r="AE52" s="13">
        <v>86025</v>
      </c>
      <c r="AF52" s="13">
        <f t="shared" si="23"/>
        <v>88075</v>
      </c>
      <c r="AG52" s="16">
        <f t="shared" si="10"/>
        <v>2000</v>
      </c>
      <c r="AH52" s="44"/>
      <c r="AI52" s="44"/>
      <c r="AJ52" s="13">
        <f t="shared" si="11"/>
        <v>88075</v>
      </c>
      <c r="AK52" s="116">
        <v>0</v>
      </c>
      <c r="AL52" s="13"/>
      <c r="AM52" s="13"/>
      <c r="AN52" s="42">
        <f t="shared" si="12"/>
        <v>88075</v>
      </c>
      <c r="AO52" s="116">
        <v>0</v>
      </c>
      <c r="AP52" s="13">
        <f t="shared" si="14"/>
        <v>9238.1000000000058</v>
      </c>
      <c r="AQ52" s="44">
        <f t="shared" si="35"/>
        <v>111.71798992603719</v>
      </c>
      <c r="AR52" s="12"/>
      <c r="AS52" s="12"/>
      <c r="AT52" s="31"/>
    </row>
    <row r="53" spans="1:48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47</v>
      </c>
      <c r="J53" s="13">
        <v>0</v>
      </c>
      <c r="K53" s="24">
        <f>AA53</f>
        <v>3474504.86</v>
      </c>
      <c r="L53" s="13">
        <v>0</v>
      </c>
      <c r="M53" s="37">
        <f>AF53</f>
        <v>2726288.6100000003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5"/>
        <v>5381046.0499999998</v>
      </c>
      <c r="V53" s="13">
        <v>4104398.45</v>
      </c>
      <c r="W53" s="13"/>
      <c r="X53" s="13"/>
      <c r="Y53" s="13">
        <f t="shared" si="96"/>
        <v>4104398.45</v>
      </c>
      <c r="Z53" s="13">
        <v>2715689.65</v>
      </c>
      <c r="AA53" s="13">
        <v>3474504.86</v>
      </c>
      <c r="AB53" s="13">
        <v>3474504.86</v>
      </c>
      <c r="AC53" s="13">
        <v>125600</v>
      </c>
      <c r="AD53" s="13">
        <v>131958.35</v>
      </c>
      <c r="AE53" s="13">
        <v>2594330.2600000002</v>
      </c>
      <c r="AF53" s="13">
        <f t="shared" si="23"/>
        <v>2726288.6100000003</v>
      </c>
      <c r="AG53" s="16">
        <f t="shared" si="10"/>
        <v>6358.3500000000058</v>
      </c>
      <c r="AH53" s="44">
        <f t="shared" si="4"/>
        <v>10598.960000000428</v>
      </c>
      <c r="AI53" s="44">
        <f t="shared" si="83"/>
        <v>100.39028612860828</v>
      </c>
      <c r="AJ53" s="13">
        <f t="shared" si="11"/>
        <v>-748216.24999999953</v>
      </c>
      <c r="AK53" s="42">
        <f t="shared" si="18"/>
        <v>78.465528754505769</v>
      </c>
      <c r="AL53" s="13" t="e">
        <f>AF53-#REF!</f>
        <v>#REF!</v>
      </c>
      <c r="AM53" s="13" t="e">
        <f>IF(#REF!=0,0,AF53/#REF!*100)</f>
        <v>#REF!</v>
      </c>
      <c r="AN53" s="42">
        <f t="shared" si="12"/>
        <v>-748216.24999999953</v>
      </c>
      <c r="AO53" s="42">
        <f t="shared" si="13"/>
        <v>78.465528754505769</v>
      </c>
      <c r="AP53" s="13">
        <f t="shared" si="14"/>
        <v>-1378109.8399999999</v>
      </c>
      <c r="AQ53" s="42">
        <f t="shared" si="35"/>
        <v>66.423585409939932</v>
      </c>
      <c r="AR53" s="12">
        <f t="shared" si="79"/>
        <v>0</v>
      </c>
      <c r="AS53" s="12">
        <f t="shared" si="80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20" t="s">
        <v>1</v>
      </c>
      <c r="C54" s="120"/>
      <c r="D54" s="120"/>
      <c r="E54" s="120"/>
      <c r="F54" s="120"/>
      <c r="G54" s="120"/>
      <c r="H54" s="120"/>
      <c r="I54" s="120"/>
      <c r="J54" s="12">
        <f t="shared" ref="J54:R54" si="97">J55+J56+J57+J58+J59+J61+J62</f>
        <v>1731743649.9200001</v>
      </c>
      <c r="K54" s="12">
        <f t="shared" si="97"/>
        <v>1726065816.5200002</v>
      </c>
      <c r="L54" s="26">
        <f t="shared" si="97"/>
        <v>754564037.68999994</v>
      </c>
      <c r="M54" s="26">
        <f t="shared" si="97"/>
        <v>750829669.28999996</v>
      </c>
      <c r="N54" s="12">
        <f t="shared" si="97"/>
        <v>1949401304.4499998</v>
      </c>
      <c r="O54" s="12">
        <f t="shared" si="97"/>
        <v>1942881158.9100001</v>
      </c>
      <c r="P54" s="12">
        <f t="shared" si="97"/>
        <v>1942881158.9100001</v>
      </c>
      <c r="Q54" s="12">
        <v>1942881158.9100001</v>
      </c>
      <c r="R54" s="12">
        <f t="shared" si="97"/>
        <v>1942881158.9100001</v>
      </c>
      <c r="S54" s="12">
        <f t="shared" ref="S54:AB54" si="98">S55+S56+S57+S58+S59+S60+S61+S62</f>
        <v>2058217674.4300001</v>
      </c>
      <c r="T54" s="12">
        <f t="shared" si="98"/>
        <v>2039899297.8500004</v>
      </c>
      <c r="U54" s="12">
        <f t="shared" si="98"/>
        <v>2039899297.8500004</v>
      </c>
      <c r="V54" s="12">
        <f t="shared" si="98"/>
        <v>660673396.3599999</v>
      </c>
      <c r="W54" s="12">
        <f t="shared" si="98"/>
        <v>0</v>
      </c>
      <c r="X54" s="12">
        <f t="shared" si="98"/>
        <v>0</v>
      </c>
      <c r="Y54" s="12">
        <f t="shared" si="98"/>
        <v>660673396.3599999</v>
      </c>
      <c r="Z54" s="12">
        <f t="shared" si="98"/>
        <v>1741578685.6100001</v>
      </c>
      <c r="AA54" s="12">
        <f t="shared" si="98"/>
        <v>1749602512.1399999</v>
      </c>
      <c r="AB54" s="12">
        <f t="shared" si="98"/>
        <v>716194319.23000002</v>
      </c>
      <c r="AC54" s="12">
        <f>AC55+AC56+AC57+AC58+AC59+AC60+AC61+AC62</f>
        <v>37167185.460000001</v>
      </c>
      <c r="AD54" s="12">
        <f>AD55+AD56+AD57+AD58+AD59+AD60+AD61+AD62</f>
        <v>862577.67999999993</v>
      </c>
      <c r="AE54" s="12">
        <v>480791153.49000001</v>
      </c>
      <c r="AF54" s="12">
        <f>AF55+AF56+AF57+AF58+AF59+AF60+AF61+AF62</f>
        <v>481653731.17000002</v>
      </c>
      <c r="AG54" s="12">
        <f t="shared" si="10"/>
        <v>-36304607.780000001</v>
      </c>
      <c r="AH54" s="44">
        <f t="shared" si="4"/>
        <v>-1259924954.4400001</v>
      </c>
      <c r="AI54" s="44">
        <f t="shared" si="83"/>
        <v>27.656156747307541</v>
      </c>
      <c r="AJ54" s="12">
        <f t="shared" si="11"/>
        <v>-1267948780.9699998</v>
      </c>
      <c r="AK54" s="44">
        <f t="shared" si="18"/>
        <v>27.529323250734965</v>
      </c>
      <c r="AL54" s="12" t="e">
        <f>AF54-#REF!</f>
        <v>#REF!</v>
      </c>
      <c r="AM54" s="12" t="e">
        <f>IF(#REF!=0,0,AF54/#REF!*100)</f>
        <v>#REF!</v>
      </c>
      <c r="AN54" s="44">
        <f t="shared" si="12"/>
        <v>-234540588.06</v>
      </c>
      <c r="AO54" s="44">
        <f t="shared" si="13"/>
        <v>67.251822338920391</v>
      </c>
      <c r="AP54" s="12">
        <f t="shared" si="14"/>
        <v>-179019665.18999988</v>
      </c>
      <c r="AQ54" s="44">
        <f t="shared" si="35"/>
        <v>72.903454842239128</v>
      </c>
      <c r="AR54" s="12">
        <f t="shared" si="79"/>
        <v>-269175938.11999995</v>
      </c>
      <c r="AS54" s="12">
        <f t="shared" si="80"/>
        <v>64.149533625311022</v>
      </c>
      <c r="AT54" s="34" t="e">
        <f t="shared" ref="AT54" si="99">AT55+AT56+AT57+AT58+AT59+AT61+AT62</f>
        <v>#REF!</v>
      </c>
    </row>
    <row r="55" spans="1:48" s="10" customFormat="1" ht="38.25" customHeight="1" x14ac:dyDescent="0.3">
      <c r="A55" s="9"/>
      <c r="B55" s="120" t="s">
        <v>6</v>
      </c>
      <c r="C55" s="120"/>
      <c r="D55" s="120"/>
      <c r="E55" s="120"/>
      <c r="F55" s="120"/>
      <c r="G55" s="120"/>
      <c r="H55" s="120"/>
      <c r="I55" s="120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100">O55</f>
        <v>436509000</v>
      </c>
      <c r="Q55" s="12">
        <v>436509000</v>
      </c>
      <c r="R55" s="12">
        <f t="shared" ref="R55:R62" si="101">Q55</f>
        <v>436509000</v>
      </c>
      <c r="S55" s="12">
        <v>543552380</v>
      </c>
      <c r="T55" s="12">
        <v>543552380</v>
      </c>
      <c r="U55" s="12">
        <f t="shared" ref="U55:U62" si="102">T55</f>
        <v>543552380</v>
      </c>
      <c r="V55" s="12">
        <v>231094000</v>
      </c>
      <c r="W55" s="12"/>
      <c r="X55" s="12"/>
      <c r="Y55" s="12">
        <f t="shared" ref="Y55:Y62" si="103">V55</f>
        <v>231094000</v>
      </c>
      <c r="Z55" s="12">
        <v>543282000</v>
      </c>
      <c r="AA55" s="12">
        <v>504630000</v>
      </c>
      <c r="AB55" s="34">
        <v>210262500</v>
      </c>
      <c r="AC55" s="12">
        <v>0</v>
      </c>
      <c r="AD55" s="12">
        <v>0</v>
      </c>
      <c r="AE55" s="12">
        <v>168210000</v>
      </c>
      <c r="AF55" s="12">
        <f t="shared" si="23"/>
        <v>168210000</v>
      </c>
      <c r="AG55" s="12">
        <f t="shared" si="10"/>
        <v>0</v>
      </c>
      <c r="AH55" s="44">
        <f t="shared" si="4"/>
        <v>-375072000</v>
      </c>
      <c r="AI55" s="44">
        <f t="shared" si="83"/>
        <v>30.96182093277524</v>
      </c>
      <c r="AJ55" s="12">
        <f t="shared" si="11"/>
        <v>-336420000</v>
      </c>
      <c r="AK55" s="44">
        <f t="shared" si="18"/>
        <v>33.333333333333336</v>
      </c>
      <c r="AL55" s="12" t="e">
        <f>AF55-#REF!</f>
        <v>#REF!</v>
      </c>
      <c r="AM55" s="12" t="e">
        <f>IF(#REF!=0,0,AF55/#REF!*100)</f>
        <v>#REF!</v>
      </c>
      <c r="AN55" s="44">
        <f t="shared" si="12"/>
        <v>-42052500</v>
      </c>
      <c r="AO55" s="44">
        <f t="shared" si="13"/>
        <v>80</v>
      </c>
      <c r="AP55" s="12">
        <f t="shared" si="14"/>
        <v>-62884000</v>
      </c>
      <c r="AQ55" s="44">
        <f t="shared" si="35"/>
        <v>72.788562230088189</v>
      </c>
      <c r="AR55" s="12">
        <f t="shared" si="79"/>
        <v>-33279000</v>
      </c>
      <c r="AS55" s="12">
        <f t="shared" si="80"/>
        <v>83.483465598618295</v>
      </c>
      <c r="AT55" s="34">
        <v>436509000</v>
      </c>
    </row>
    <row r="56" spans="1:48" s="10" customFormat="1" ht="43.5" customHeight="1" x14ac:dyDescent="0.3">
      <c r="A56" s="9"/>
      <c r="B56" s="120" t="s">
        <v>5</v>
      </c>
      <c r="C56" s="120"/>
      <c r="D56" s="120"/>
      <c r="E56" s="120"/>
      <c r="F56" s="120"/>
      <c r="G56" s="120"/>
      <c r="H56" s="120"/>
      <c r="I56" s="120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100"/>
        <v>266680542.02000001</v>
      </c>
      <c r="Q56" s="12">
        <v>266680542.02000001</v>
      </c>
      <c r="R56" s="12">
        <f t="shared" si="101"/>
        <v>266680542.02000001</v>
      </c>
      <c r="S56" s="12">
        <v>448087921.25</v>
      </c>
      <c r="T56" s="12">
        <v>432403468.83000004</v>
      </c>
      <c r="U56" s="12">
        <f t="shared" si="102"/>
        <v>432403468.83000004</v>
      </c>
      <c r="V56" s="12">
        <v>37946699.060000002</v>
      </c>
      <c r="W56" s="12"/>
      <c r="X56" s="12"/>
      <c r="Y56" s="12">
        <f t="shared" si="103"/>
        <v>37946699.060000002</v>
      </c>
      <c r="Z56" s="12">
        <v>164450526.09999999</v>
      </c>
      <c r="AA56" s="12">
        <v>339768105.60000002</v>
      </c>
      <c r="AB56" s="12">
        <v>67088934.280000001</v>
      </c>
      <c r="AC56" s="12">
        <v>9670771.75</v>
      </c>
      <c r="AD56" s="12">
        <v>598472.95999999996</v>
      </c>
      <c r="AE56" s="12">
        <v>37396452.289999999</v>
      </c>
      <c r="AF56" s="12">
        <f t="shared" si="23"/>
        <v>37994925.25</v>
      </c>
      <c r="AG56" s="12">
        <f t="shared" si="10"/>
        <v>-9072298.7899999991</v>
      </c>
      <c r="AH56" s="44">
        <f t="shared" si="4"/>
        <v>-126455600.84999999</v>
      </c>
      <c r="AI56" s="44">
        <f t="shared" si="83"/>
        <v>23.104167649117667</v>
      </c>
      <c r="AJ56" s="12">
        <f t="shared" si="11"/>
        <v>-301773180.35000002</v>
      </c>
      <c r="AK56" s="44">
        <f t="shared" si="18"/>
        <v>11.18260502494911</v>
      </c>
      <c r="AL56" s="12" t="e">
        <f>AF56-#REF!</f>
        <v>#REF!</v>
      </c>
      <c r="AM56" s="12" t="e">
        <f>IF(#REF!=0,0,AF56/#REF!*100)</f>
        <v>#REF!</v>
      </c>
      <c r="AN56" s="44">
        <f t="shared" si="12"/>
        <v>-29094009.030000001</v>
      </c>
      <c r="AO56" s="44">
        <f t="shared" si="13"/>
        <v>56.633669408766764</v>
      </c>
      <c r="AP56" s="12">
        <f t="shared" si="14"/>
        <v>48226.189999997616</v>
      </c>
      <c r="AQ56" s="44">
        <f t="shared" si="35"/>
        <v>100.12708928890954</v>
      </c>
      <c r="AR56" s="12">
        <f t="shared" si="79"/>
        <v>-30257258.849999994</v>
      </c>
      <c r="AS56" s="12">
        <f t="shared" si="80"/>
        <v>55.668438674917077</v>
      </c>
      <c r="AT56" s="34" t="e">
        <f>#REF!</f>
        <v>#REF!</v>
      </c>
    </row>
    <row r="57" spans="1:48" s="10" customFormat="1" ht="45" customHeight="1" x14ac:dyDescent="0.3">
      <c r="A57" s="9"/>
      <c r="B57" s="120" t="s">
        <v>4</v>
      </c>
      <c r="C57" s="120"/>
      <c r="D57" s="120"/>
      <c r="E57" s="120"/>
      <c r="F57" s="120"/>
      <c r="G57" s="120"/>
      <c r="H57" s="120"/>
      <c r="I57" s="120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100"/>
        <v>1213354064.45</v>
      </c>
      <c r="Q57" s="12">
        <v>1213354064.45</v>
      </c>
      <c r="R57" s="12">
        <f t="shared" si="101"/>
        <v>1213354064.45</v>
      </c>
      <c r="S57" s="12">
        <v>1052485113.04</v>
      </c>
      <c r="T57" s="12">
        <v>1050017221.74</v>
      </c>
      <c r="U57" s="12">
        <f t="shared" si="102"/>
        <v>1050017221.74</v>
      </c>
      <c r="V57" s="12">
        <v>390729174.20999998</v>
      </c>
      <c r="W57" s="12"/>
      <c r="X57" s="12"/>
      <c r="Y57" s="12">
        <f t="shared" si="103"/>
        <v>390729174.20999998</v>
      </c>
      <c r="Z57" s="12">
        <v>1032066181.7</v>
      </c>
      <c r="AA57" s="12">
        <v>877046455.03999996</v>
      </c>
      <c r="AB57" s="12">
        <v>424971497.11000001</v>
      </c>
      <c r="AC57" s="12">
        <v>23996136.23</v>
      </c>
      <c r="AD57" s="12">
        <v>264104.71999999997</v>
      </c>
      <c r="AE57" s="12">
        <v>266980897.72</v>
      </c>
      <c r="AF57" s="12">
        <f t="shared" si="23"/>
        <v>267245002.44</v>
      </c>
      <c r="AG57" s="12">
        <f t="shared" si="10"/>
        <v>-23732031.510000002</v>
      </c>
      <c r="AH57" s="44">
        <f t="shared" si="4"/>
        <v>-764821179.25999999</v>
      </c>
      <c r="AI57" s="44">
        <f t="shared" si="83"/>
        <v>25.894172987995695</v>
      </c>
      <c r="AJ57" s="12">
        <f t="shared" si="11"/>
        <v>-609801452.5999999</v>
      </c>
      <c r="AK57" s="44">
        <f t="shared" si="18"/>
        <v>30.471020195596321</v>
      </c>
      <c r="AL57" s="12" t="e">
        <f>AF57-#REF!</f>
        <v>#REF!</v>
      </c>
      <c r="AM57" s="12" t="e">
        <f>IF(#REF!=0,0,AF57/#REF!*100)</f>
        <v>#REF!</v>
      </c>
      <c r="AN57" s="44">
        <f t="shared" si="12"/>
        <v>-157726494.67000002</v>
      </c>
      <c r="AO57" s="44">
        <f t="shared" si="13"/>
        <v>62.885394492898442</v>
      </c>
      <c r="AP57" s="12">
        <f t="shared" si="14"/>
        <v>-123484171.76999998</v>
      </c>
      <c r="AQ57" s="44">
        <f t="shared" si="35"/>
        <v>68.396480242442152</v>
      </c>
      <c r="AR57" s="12">
        <f t="shared" si="79"/>
        <v>-217253679.68000001</v>
      </c>
      <c r="AS57" s="12">
        <f t="shared" si="80"/>
        <v>55.159077269442214</v>
      </c>
      <c r="AT57" s="34" t="e">
        <f>#REF!</f>
        <v>#REF!</v>
      </c>
    </row>
    <row r="58" spans="1:48" s="10" customFormat="1" ht="27" customHeight="1" x14ac:dyDescent="0.3">
      <c r="A58" s="9"/>
      <c r="B58" s="120" t="s">
        <v>3</v>
      </c>
      <c r="C58" s="120"/>
      <c r="D58" s="120"/>
      <c r="E58" s="120"/>
      <c r="F58" s="120"/>
      <c r="G58" s="120"/>
      <c r="H58" s="120"/>
      <c r="I58" s="120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100"/>
        <v>31536396.41</v>
      </c>
      <c r="Q58" s="12">
        <v>31536396.41</v>
      </c>
      <c r="R58" s="12">
        <f t="shared" si="101"/>
        <v>31536396.41</v>
      </c>
      <c r="S58" s="12">
        <v>14687976.27</v>
      </c>
      <c r="T58" s="12">
        <v>14514443.27</v>
      </c>
      <c r="U58" s="12">
        <f t="shared" si="102"/>
        <v>14514443.27</v>
      </c>
      <c r="V58" s="12">
        <v>1561516.12</v>
      </c>
      <c r="W58" s="12"/>
      <c r="X58" s="12"/>
      <c r="Y58" s="12">
        <f t="shared" si="103"/>
        <v>1561516.12</v>
      </c>
      <c r="Z58" s="12">
        <v>1779977.81</v>
      </c>
      <c r="AA58" s="12">
        <v>28157951.5</v>
      </c>
      <c r="AB58" s="12">
        <v>13871387.84</v>
      </c>
      <c r="AC58" s="12">
        <v>3500000</v>
      </c>
      <c r="AD58" s="12">
        <v>0</v>
      </c>
      <c r="AE58" s="12">
        <v>10661434.289999999</v>
      </c>
      <c r="AF58" s="12">
        <f t="shared" si="23"/>
        <v>10661434.289999999</v>
      </c>
      <c r="AG58" s="12">
        <f t="shared" si="10"/>
        <v>-3500000</v>
      </c>
      <c r="AH58" s="44">
        <f t="shared" si="4"/>
        <v>8881456.4799999986</v>
      </c>
      <c r="AI58" s="44">
        <f t="shared" si="83"/>
        <v>598.96444945007477</v>
      </c>
      <c r="AJ58" s="12">
        <f t="shared" si="11"/>
        <v>-17496517.210000001</v>
      </c>
      <c r="AK58" s="44">
        <f t="shared" si="18"/>
        <v>37.86296133793681</v>
      </c>
      <c r="AL58" s="12" t="e">
        <f>AF58-#REF!</f>
        <v>#REF!</v>
      </c>
      <c r="AM58" s="12" t="e">
        <f>IF(#REF!=0,0,AF58/#REF!*100)</f>
        <v>#REF!</v>
      </c>
      <c r="AN58" s="44">
        <f t="shared" si="12"/>
        <v>-3209953.5500000007</v>
      </c>
      <c r="AO58" s="44">
        <f t="shared" si="13"/>
        <v>76.859175253223981</v>
      </c>
      <c r="AP58" s="12">
        <f t="shared" si="14"/>
        <v>9099918.1699999981</v>
      </c>
      <c r="AQ58" s="44">
        <f t="shared" si="35"/>
        <v>682.76171814351801</v>
      </c>
      <c r="AR58" s="12">
        <f t="shared" si="79"/>
        <v>10132033.859999999</v>
      </c>
      <c r="AS58" s="12">
        <f t="shared" si="80"/>
        <v>2013.8695939480062</v>
      </c>
      <c r="AT58" s="34" t="e">
        <f>#REF!</f>
        <v>#REF!</v>
      </c>
    </row>
    <row r="59" spans="1:48" s="10" customFormat="1" ht="39" customHeight="1" x14ac:dyDescent="0.3">
      <c r="A59" s="9"/>
      <c r="B59" s="120" t="s">
        <v>2</v>
      </c>
      <c r="C59" s="120"/>
      <c r="D59" s="120"/>
      <c r="E59" s="120"/>
      <c r="F59" s="120"/>
      <c r="G59" s="120"/>
      <c r="H59" s="120"/>
      <c r="I59" s="120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100"/>
        <v>18244.099999999999</v>
      </c>
      <c r="Q59" s="12">
        <v>18244.099999999999</v>
      </c>
      <c r="R59" s="12">
        <f t="shared" si="101"/>
        <v>18244.099999999999</v>
      </c>
      <c r="S59" s="12">
        <v>102600.69</v>
      </c>
      <c r="T59" s="12">
        <v>110100.69</v>
      </c>
      <c r="U59" s="12">
        <f t="shared" si="102"/>
        <v>110100.69</v>
      </c>
      <c r="V59" s="12">
        <v>2696.92</v>
      </c>
      <c r="W59" s="12"/>
      <c r="X59" s="12"/>
      <c r="Y59" s="12">
        <f t="shared" si="103"/>
        <v>2696.92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3"/>
        <v>0</v>
      </c>
      <c r="AG59" s="12">
        <f t="shared" si="10"/>
        <v>0</v>
      </c>
      <c r="AH59" s="44">
        <f t="shared" si="4"/>
        <v>0</v>
      </c>
      <c r="AI59" s="44">
        <v>0</v>
      </c>
      <c r="AJ59" s="12">
        <f t="shared" si="11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2"/>
        <v>0</v>
      </c>
      <c r="AO59" s="115">
        <v>0</v>
      </c>
      <c r="AP59" s="12">
        <f t="shared" si="14"/>
        <v>-2696.92</v>
      </c>
      <c r="AQ59" s="44">
        <f t="shared" si="35"/>
        <v>0</v>
      </c>
      <c r="AR59" s="12">
        <f t="shared" si="79"/>
        <v>-15145.1</v>
      </c>
      <c r="AS59" s="12">
        <f t="shared" si="80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62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3"/>
        <v>0</v>
      </c>
      <c r="Z60" s="12">
        <v>0</v>
      </c>
      <c r="AA60" s="12">
        <v>0</v>
      </c>
      <c r="AB60" s="12">
        <v>0</v>
      </c>
      <c r="AC60" s="12">
        <v>277.48</v>
      </c>
      <c r="AD60" s="12">
        <v>0</v>
      </c>
      <c r="AE60" s="12">
        <v>-1.0459189070388675E-11</v>
      </c>
      <c r="AF60" s="12">
        <f t="shared" si="23"/>
        <v>-1.0459189070388675E-11</v>
      </c>
      <c r="AG60" s="12">
        <f>AD60-AC60</f>
        <v>-277.48</v>
      </c>
      <c r="AH60" s="44">
        <f t="shared" si="4"/>
        <v>-1.0459189070388675E-11</v>
      </c>
      <c r="AI60" s="44">
        <v>0</v>
      </c>
      <c r="AJ60" s="12">
        <f t="shared" si="11"/>
        <v>-1.0459189070388675E-11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2"/>
        <v>-1.0459189070388675E-11</v>
      </c>
      <c r="AO60" s="44">
        <v>0</v>
      </c>
      <c r="AP60" s="12">
        <f>AF60-Y60</f>
        <v>-1.0459189070388675E-11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100"/>
        <v>280404</v>
      </c>
      <c r="Q61" s="12">
        <v>280404</v>
      </c>
      <c r="R61" s="12">
        <f t="shared" si="101"/>
        <v>280404</v>
      </c>
      <c r="S61" s="12">
        <v>0</v>
      </c>
      <c r="T61" s="12">
        <v>0.13999999999941792</v>
      </c>
      <c r="U61" s="12">
        <f t="shared" si="102"/>
        <v>0.13999999999941792</v>
      </c>
      <c r="V61" s="12">
        <v>0.14000000000000001</v>
      </c>
      <c r="W61" s="12"/>
      <c r="X61" s="12"/>
      <c r="Y61" s="12">
        <f t="shared" si="103"/>
        <v>0.14000000000000001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3"/>
        <v>0</v>
      </c>
      <c r="AG61" s="12">
        <f t="shared" si="10"/>
        <v>0</v>
      </c>
      <c r="AH61" s="44">
        <f t="shared" si="4"/>
        <v>0</v>
      </c>
      <c r="AI61" s="44">
        <v>0</v>
      </c>
      <c r="AJ61" s="12">
        <f t="shared" si="11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2"/>
        <v>0</v>
      </c>
      <c r="AO61" s="44">
        <v>0</v>
      </c>
      <c r="AP61" s="12">
        <f t="shared" si="14"/>
        <v>-0.14000000000000001</v>
      </c>
      <c r="AQ61" s="44">
        <f t="shared" si="35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20" t="s">
        <v>0</v>
      </c>
      <c r="C62" s="120"/>
      <c r="D62" s="120"/>
      <c r="E62" s="120"/>
      <c r="F62" s="120"/>
      <c r="G62" s="120"/>
      <c r="H62" s="120"/>
      <c r="I62" s="120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100"/>
        <v>-5497492.0700000003</v>
      </c>
      <c r="Q62" s="12">
        <v>-5497492.0700000003</v>
      </c>
      <c r="R62" s="12">
        <f t="shared" si="101"/>
        <v>-5497492.0700000003</v>
      </c>
      <c r="S62" s="12">
        <v>-698316.82</v>
      </c>
      <c r="T62" s="12">
        <v>-698316.82000000018</v>
      </c>
      <c r="U62" s="12">
        <f t="shared" si="102"/>
        <v>-698316.82000000018</v>
      </c>
      <c r="V62" s="12">
        <v>-660690.09</v>
      </c>
      <c r="W62" s="12"/>
      <c r="X62" s="12"/>
      <c r="Y62" s="12">
        <f t="shared" si="103"/>
        <v>-660690.09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-2457630.8099999977</v>
      </c>
      <c r="AF62" s="12">
        <f t="shared" si="23"/>
        <v>-2457630.8099999977</v>
      </c>
      <c r="AG62" s="12">
        <f t="shared" si="10"/>
        <v>0</v>
      </c>
      <c r="AH62" s="44">
        <f t="shared" si="4"/>
        <v>-2457630.8099999977</v>
      </c>
      <c r="AI62" s="44">
        <v>0</v>
      </c>
      <c r="AJ62" s="12">
        <f t="shared" si="11"/>
        <v>-2457630.8099999977</v>
      </c>
      <c r="AK62" s="12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2"/>
        <v>-2457630.8099999977</v>
      </c>
      <c r="AO62" s="12">
        <v>0</v>
      </c>
      <c r="AP62" s="12">
        <f t="shared" si="14"/>
        <v>-1796940.7199999979</v>
      </c>
      <c r="AQ62" s="44">
        <f t="shared" si="35"/>
        <v>371.97936630167976</v>
      </c>
      <c r="AR62" s="12">
        <f>AF62-M62</f>
        <v>1497111.6500000022</v>
      </c>
      <c r="AS62" s="12">
        <f>IF(M62=0,0,AF62/M62*100)</f>
        <v>62.143890148538219</v>
      </c>
      <c r="AT62" s="34">
        <f>AF62</f>
        <v>-2457630.8099999977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4">J54+J7</f>
        <v>2092393430.8699999</v>
      </c>
      <c r="K63" s="13">
        <f t="shared" si="104"/>
        <v>2071644024.1451344</v>
      </c>
      <c r="L63" s="28">
        <f t="shared" si="104"/>
        <v>881017080.54999995</v>
      </c>
      <c r="M63" s="26">
        <f t="shared" si="104"/>
        <v>872533528.82554317</v>
      </c>
      <c r="N63" s="12">
        <f t="shared" si="104"/>
        <v>2309803775.2699995</v>
      </c>
      <c r="O63" s="12">
        <f t="shared" si="104"/>
        <v>2328450949.6999998</v>
      </c>
      <c r="P63" s="12">
        <f t="shared" si="104"/>
        <v>2327457942.815587</v>
      </c>
      <c r="Q63" s="12">
        <f t="shared" si="104"/>
        <v>2328450949.6999998</v>
      </c>
      <c r="R63" s="12">
        <f t="shared" si="104"/>
        <v>2324234116.085587</v>
      </c>
      <c r="S63" s="12">
        <f t="shared" si="104"/>
        <v>2468054121.4099998</v>
      </c>
      <c r="T63" s="12">
        <f t="shared" si="104"/>
        <v>2473502940.9500003</v>
      </c>
      <c r="U63" s="12">
        <f t="shared" si="104"/>
        <v>2610269494.995842</v>
      </c>
      <c r="V63" s="12">
        <f t="shared" si="104"/>
        <v>770410303.00999987</v>
      </c>
      <c r="W63" s="12"/>
      <c r="X63" s="12">
        <f t="shared" ref="X63:AF63" si="105">X54+X7</f>
        <v>0</v>
      </c>
      <c r="Y63" s="12">
        <f t="shared" si="105"/>
        <v>799456981.25742459</v>
      </c>
      <c r="Z63" s="12">
        <f t="shared" si="105"/>
        <v>2141993785.2600002</v>
      </c>
      <c r="AA63" s="12">
        <f t="shared" si="105"/>
        <v>2327708082.5099998</v>
      </c>
      <c r="AB63" s="12">
        <f t="shared" si="105"/>
        <v>925511620.19000006</v>
      </c>
      <c r="AC63" s="12">
        <f t="shared" si="105"/>
        <v>34791836.490000002</v>
      </c>
      <c r="AD63" s="12">
        <f t="shared" si="105"/>
        <v>27176812.989999998</v>
      </c>
      <c r="AE63" s="12">
        <f t="shared" si="105"/>
        <v>621331685.95000005</v>
      </c>
      <c r="AF63" s="12">
        <f t="shared" si="105"/>
        <v>648508498.94000006</v>
      </c>
      <c r="AG63" s="12">
        <f t="shared" si="10"/>
        <v>-7615023.5000000037</v>
      </c>
      <c r="AH63" s="12">
        <f t="shared" si="4"/>
        <v>-1493485286.3200002</v>
      </c>
      <c r="AI63" s="12">
        <f>AF63/Z63*100</f>
        <v>30.275928128394757</v>
      </c>
      <c r="AJ63" s="12">
        <f>AF63-AA63</f>
        <v>-1679199583.5699997</v>
      </c>
      <c r="AK63" s="12">
        <f t="shared" si="18"/>
        <v>27.860387812921299</v>
      </c>
      <c r="AL63" s="12" t="e">
        <f>AF63-#REF!</f>
        <v>#REF!</v>
      </c>
      <c r="AM63" s="12" t="e">
        <f>IF(#REF!=0,0,AF63/#REF!*100)</f>
        <v>#REF!</v>
      </c>
      <c r="AN63" s="12">
        <f t="shared" si="12"/>
        <v>-277003121.25</v>
      </c>
      <c r="AO63" s="12">
        <f t="shared" si="13"/>
        <v>70.070270841857891</v>
      </c>
      <c r="AP63" s="12">
        <f t="shared" si="14"/>
        <v>-150948482.31742454</v>
      </c>
      <c r="AQ63" s="12">
        <f t="shared" si="35"/>
        <v>81.118623533688393</v>
      </c>
      <c r="AR63" s="12">
        <f>AF63-M63</f>
        <v>-224025029.88554311</v>
      </c>
      <c r="AS63" s="12">
        <f>IF(M63=0,0,AF63/M63*100)</f>
        <v>74.324765469232148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73</v>
      </c>
      <c r="Z64" s="93"/>
      <c r="AA64" s="93"/>
      <c r="AB64" s="94">
        <v>1276217451.79</v>
      </c>
      <c r="AC64" s="93"/>
      <c r="AD64" s="108"/>
      <c r="AE64" s="109">
        <v>1091597698.1400001</v>
      </c>
      <c r="AF64" s="110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48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799456981.25742447</v>
      </c>
      <c r="W65" s="94"/>
      <c r="X65" s="101"/>
      <c r="Y65" s="94"/>
      <c r="Z65" s="94"/>
      <c r="AA65" s="94"/>
      <c r="AB65" s="94">
        <v>1581194711.4100001</v>
      </c>
      <c r="AC65" s="95"/>
      <c r="AD65" s="109"/>
      <c r="AE65" s="111">
        <v>621331685.95000005</v>
      </c>
      <c r="AF65" s="109">
        <v>1229277981.27</v>
      </c>
      <c r="AG65" s="95"/>
      <c r="AJ65" s="89"/>
      <c r="AK65" s="118"/>
      <c r="AL65" s="118"/>
      <c r="AM65" s="118"/>
      <c r="AN65" s="118"/>
      <c r="AO65" s="118"/>
      <c r="AP65" s="118"/>
    </row>
    <row r="66" spans="1:44" s="78" customFormat="1" ht="18" customHeight="1" x14ac:dyDescent="0.3">
      <c r="I66" s="78" t="s">
        <v>76</v>
      </c>
      <c r="O66" s="78" t="s">
        <v>40</v>
      </c>
      <c r="Q66" s="88"/>
      <c r="V66" s="88">
        <f>V63-V10+Y10</f>
        <v>799456981.25742447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48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  <mergeCell ref="AA4:AB5"/>
    <mergeCell ref="B14:I14"/>
    <mergeCell ref="AG4:AG5"/>
    <mergeCell ref="AH4:AI4"/>
    <mergeCell ref="AJ4:AK4"/>
    <mergeCell ref="AL4:AM4"/>
    <mergeCell ref="Y4:Y5"/>
    <mergeCell ref="Z4:Z5"/>
    <mergeCell ref="AC4:AD4"/>
    <mergeCell ref="AE4:AE5"/>
    <mergeCell ref="AF4:AF5"/>
    <mergeCell ref="R4:R5"/>
    <mergeCell ref="S4:S5"/>
    <mergeCell ref="T4:T5"/>
    <mergeCell ref="U4:U5"/>
    <mergeCell ref="V4:V5"/>
    <mergeCell ref="AR4:AS4"/>
    <mergeCell ref="B7:I7"/>
    <mergeCell ref="B10:I10"/>
    <mergeCell ref="B11:I11"/>
    <mergeCell ref="B13:I13"/>
    <mergeCell ref="AN4:AO4"/>
    <mergeCell ref="AP4:AQ4"/>
    <mergeCell ref="X4:X5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</mergeCells>
  <pageMargins left="0.39370078740157483" right="0.39370078740157483" top="0.78740157480314965" bottom="0.39370078740157483" header="0.39370078740157483" footer="0.39370078740157483"/>
  <pageSetup paperSize="9" scale="49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2024-04-19T14:48:13Z</cp:lastPrinted>
  <dcterms:created xsi:type="dcterms:W3CDTF">2018-12-30T09:36:16Z</dcterms:created>
  <dcterms:modified xsi:type="dcterms:W3CDTF">2024-05-06T06:32:42Z</dcterms:modified>
</cp:coreProperties>
</file>